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ik1-my.sharepoint.com/personal/kaie_kriiska_kik_ee/Documents/Dokumendid/Meetmete eelnõud 2026/Tiiu Noormaa/Laevade_retrofit_-_TAT_muudatused_/"/>
    </mc:Choice>
  </mc:AlternateContent>
  <xr:revisionPtr revIDLastSave="327" documentId="13_ncr:1_{65EEB43D-789B-46DB-AEF9-D1BCBD534E77}" xr6:coauthVersionLast="47" xr6:coauthVersionMax="47" xr10:uidLastSave="{DAD3CE8C-2C9D-4F04-A9F7-7EA98AAC885F}"/>
  <bookViews>
    <workbookView xWindow="38280" yWindow="-120" windowWidth="38640" windowHeight="21120" tabRatio="725" xr2:uid="{605267BF-0B2F-4B25-9EF6-E2255106C5A6}"/>
  </bookViews>
  <sheets>
    <sheet name="Arvutusvorm" sheetId="10" r:id="rId1"/>
    <sheet name="Eriheited" sheetId="5" r:id="rId2"/>
    <sheet name="Ümberarvutused" sheetId="6" r:id="rId3"/>
    <sheet name="Preemiategur" sheetId="7" r:id="rId4"/>
    <sheet name="EEDI" sheetId="8"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9" i="10" l="1"/>
  <c r="P134" i="10"/>
  <c r="M134" i="10" s="1"/>
  <c r="G134" i="10"/>
  <c r="N134" i="10" s="1"/>
  <c r="O134" i="10" s="1"/>
  <c r="G133" i="10"/>
  <c r="G132" i="10"/>
  <c r="G135" i="10"/>
  <c r="N135" i="10" s="1"/>
  <c r="O135" i="10" s="1"/>
  <c r="I90" i="10"/>
  <c r="N90" i="10" s="1"/>
  <c r="G90" i="10"/>
  <c r="J90" i="10" s="1"/>
  <c r="Q109" i="10"/>
  <c r="O109" i="10"/>
  <c r="N109" i="10"/>
  <c r="H109" i="10"/>
  <c r="K109" i="10" s="1"/>
  <c r="G109" i="10"/>
  <c r="J109" i="10" s="1"/>
  <c r="F109" i="10"/>
  <c r="I109" i="10" s="1"/>
  <c r="Q108" i="10"/>
  <c r="O108" i="10"/>
  <c r="N108" i="10"/>
  <c r="H108" i="10"/>
  <c r="K108" i="10" s="1"/>
  <c r="G108" i="10"/>
  <c r="J108" i="10" s="1"/>
  <c r="F108" i="10"/>
  <c r="I108" i="10" s="1"/>
  <c r="Q107" i="10"/>
  <c r="O107" i="10"/>
  <c r="N107" i="10"/>
  <c r="H107" i="10"/>
  <c r="K107" i="10" s="1"/>
  <c r="G107" i="10"/>
  <c r="J107" i="10" s="1"/>
  <c r="F107" i="10"/>
  <c r="I107" i="10" s="1"/>
  <c r="Q106" i="10"/>
  <c r="O106" i="10"/>
  <c r="N106" i="10"/>
  <c r="H106" i="10"/>
  <c r="K106" i="10" s="1"/>
  <c r="G106" i="10"/>
  <c r="J106" i="10" s="1"/>
  <c r="F106" i="10"/>
  <c r="I106" i="10" s="1"/>
  <c r="Q105" i="10"/>
  <c r="O105" i="10"/>
  <c r="N105" i="10"/>
  <c r="H105" i="10"/>
  <c r="K105" i="10" s="1"/>
  <c r="G105" i="10"/>
  <c r="J105" i="10" s="1"/>
  <c r="F105" i="10"/>
  <c r="I105" i="10" s="1"/>
  <c r="Q104" i="10"/>
  <c r="O104" i="10"/>
  <c r="N104" i="10"/>
  <c r="H104" i="10"/>
  <c r="K104" i="10" s="1"/>
  <c r="G104" i="10"/>
  <c r="J104" i="10" s="1"/>
  <c r="F104" i="10"/>
  <c r="I104" i="10" s="1"/>
  <c r="Q103" i="10"/>
  <c r="O103" i="10"/>
  <c r="N103" i="10"/>
  <c r="H103" i="10"/>
  <c r="K103" i="10" s="1"/>
  <c r="G103" i="10"/>
  <c r="J103" i="10" s="1"/>
  <c r="F103" i="10"/>
  <c r="I103" i="10" s="1"/>
  <c r="Q102" i="10"/>
  <c r="O102" i="10"/>
  <c r="N102" i="10"/>
  <c r="H102" i="10"/>
  <c r="K102" i="10" s="1"/>
  <c r="G102" i="10"/>
  <c r="J102" i="10" s="1"/>
  <c r="F102" i="10"/>
  <c r="I102" i="10" s="1"/>
  <c r="Q101" i="10"/>
  <c r="O101" i="10"/>
  <c r="N101" i="10"/>
  <c r="H101" i="10"/>
  <c r="K101" i="10" s="1"/>
  <c r="G101" i="10"/>
  <c r="J101" i="10" s="1"/>
  <c r="F101" i="10"/>
  <c r="I101" i="10" s="1"/>
  <c r="Q100" i="10"/>
  <c r="O100" i="10"/>
  <c r="N100" i="10"/>
  <c r="H100" i="10"/>
  <c r="K100" i="10" s="1"/>
  <c r="G100" i="10"/>
  <c r="J100" i="10" s="1"/>
  <c r="F100" i="10"/>
  <c r="I100" i="10" s="1"/>
  <c r="Q99" i="10"/>
  <c r="O99" i="10"/>
  <c r="N99" i="10"/>
  <c r="H99" i="10"/>
  <c r="K99" i="10" s="1"/>
  <c r="G99" i="10"/>
  <c r="J99" i="10" s="1"/>
  <c r="F99" i="10"/>
  <c r="I99" i="10" s="1"/>
  <c r="Q98" i="10"/>
  <c r="O98" i="10"/>
  <c r="N98" i="10"/>
  <c r="H98" i="10"/>
  <c r="K98" i="10" s="1"/>
  <c r="G98" i="10"/>
  <c r="J98" i="10" s="1"/>
  <c r="F98" i="10"/>
  <c r="I98" i="10" s="1"/>
  <c r="Q97" i="10"/>
  <c r="O97" i="10"/>
  <c r="N97" i="10"/>
  <c r="H97" i="10"/>
  <c r="K97" i="10" s="1"/>
  <c r="G97" i="10"/>
  <c r="J97" i="10" s="1"/>
  <c r="F97" i="10"/>
  <c r="I97" i="10" s="1"/>
  <c r="Q96" i="10"/>
  <c r="O96" i="10"/>
  <c r="N96" i="10"/>
  <c r="H96" i="10"/>
  <c r="K96" i="10" s="1"/>
  <c r="G96" i="10"/>
  <c r="J96" i="10" s="1"/>
  <c r="F96" i="10"/>
  <c r="I96" i="10" s="1"/>
  <c r="Q95" i="10"/>
  <c r="O95" i="10"/>
  <c r="N95" i="10"/>
  <c r="H95" i="10"/>
  <c r="K95" i="10" s="1"/>
  <c r="G95" i="10"/>
  <c r="J95" i="10" s="1"/>
  <c r="F95" i="10"/>
  <c r="I95" i="10" s="1"/>
  <c r="Q94" i="10"/>
  <c r="O94" i="10"/>
  <c r="N94" i="10"/>
  <c r="H94" i="10"/>
  <c r="K94" i="10" s="1"/>
  <c r="G94" i="10"/>
  <c r="J94" i="10" s="1"/>
  <c r="F94" i="10"/>
  <c r="I94" i="10" s="1"/>
  <c r="Q93" i="10"/>
  <c r="O93" i="10"/>
  <c r="H93" i="10"/>
  <c r="K93" i="10" s="1"/>
  <c r="G93" i="10"/>
  <c r="J93" i="10" s="1"/>
  <c r="F93" i="10"/>
  <c r="I93" i="10" s="1"/>
  <c r="N93" i="10" s="1"/>
  <c r="Q92" i="10"/>
  <c r="O92" i="10"/>
  <c r="H92" i="10"/>
  <c r="K92" i="10" s="1"/>
  <c r="G92" i="10"/>
  <c r="J92" i="10" s="1"/>
  <c r="F92" i="10"/>
  <c r="I92" i="10" s="1"/>
  <c r="Q91" i="10"/>
  <c r="O91" i="10"/>
  <c r="I91" i="10"/>
  <c r="N91" i="10" s="1"/>
  <c r="H91" i="10"/>
  <c r="K91" i="10" s="1"/>
  <c r="G91" i="10"/>
  <c r="J91" i="10" s="1"/>
  <c r="Q90" i="10"/>
  <c r="O90" i="10"/>
  <c r="H90" i="10"/>
  <c r="K90" i="10" s="1"/>
  <c r="Q49" i="10"/>
  <c r="Q50" i="10"/>
  <c r="Q51" i="10"/>
  <c r="Q52" i="10"/>
  <c r="Q53" i="10"/>
  <c r="Q54" i="10"/>
  <c r="Q55" i="10"/>
  <c r="Q56" i="10"/>
  <c r="Q57" i="10"/>
  <c r="Q58" i="10"/>
  <c r="Q59" i="10"/>
  <c r="Q60" i="10"/>
  <c r="Q61" i="10"/>
  <c r="Q62" i="10"/>
  <c r="Q63" i="10"/>
  <c r="Q64" i="10"/>
  <c r="Q65" i="10"/>
  <c r="Q66" i="10"/>
  <c r="Q67" i="10"/>
  <c r="Q48" i="10"/>
  <c r="O49" i="10"/>
  <c r="O50" i="10"/>
  <c r="O51" i="10"/>
  <c r="O52" i="10"/>
  <c r="O53" i="10"/>
  <c r="O54" i="10"/>
  <c r="O55" i="10"/>
  <c r="O56" i="10"/>
  <c r="O57" i="10"/>
  <c r="O58" i="10"/>
  <c r="O59" i="10"/>
  <c r="O60" i="10"/>
  <c r="O61" i="10"/>
  <c r="O62" i="10"/>
  <c r="O63" i="10"/>
  <c r="O64" i="10"/>
  <c r="O65" i="10"/>
  <c r="O66" i="10"/>
  <c r="O67" i="10"/>
  <c r="O48" i="10"/>
  <c r="N51" i="10"/>
  <c r="N52" i="10"/>
  <c r="N53" i="10"/>
  <c r="N54" i="10"/>
  <c r="N55" i="10"/>
  <c r="N56" i="10"/>
  <c r="N57" i="10"/>
  <c r="N58" i="10"/>
  <c r="N59" i="10"/>
  <c r="N60" i="10"/>
  <c r="N61" i="10"/>
  <c r="N62" i="10"/>
  <c r="N63" i="10"/>
  <c r="N64" i="10"/>
  <c r="N65" i="10"/>
  <c r="N66" i="10"/>
  <c r="N67" i="10"/>
  <c r="I49" i="10"/>
  <c r="N49" i="10" s="1"/>
  <c r="I48" i="10"/>
  <c r="N48" i="10" s="1"/>
  <c r="H49" i="10"/>
  <c r="H50" i="10"/>
  <c r="H51" i="10"/>
  <c r="H52" i="10"/>
  <c r="K52" i="10" s="1"/>
  <c r="H53" i="10"/>
  <c r="K53" i="10" s="1"/>
  <c r="H54" i="10"/>
  <c r="K54" i="10" s="1"/>
  <c r="H55" i="10"/>
  <c r="K55" i="10" s="1"/>
  <c r="H56" i="10"/>
  <c r="K56" i="10" s="1"/>
  <c r="H57" i="10"/>
  <c r="K57" i="10" s="1"/>
  <c r="H58" i="10"/>
  <c r="K58" i="10" s="1"/>
  <c r="H59" i="10"/>
  <c r="K59" i="10" s="1"/>
  <c r="H60" i="10"/>
  <c r="K60" i="10" s="1"/>
  <c r="H61" i="10"/>
  <c r="K61" i="10" s="1"/>
  <c r="H62" i="10"/>
  <c r="K62" i="10" s="1"/>
  <c r="H63" i="10"/>
  <c r="K63" i="10" s="1"/>
  <c r="H64" i="10"/>
  <c r="K64" i="10" s="1"/>
  <c r="H65" i="10"/>
  <c r="K65" i="10" s="1"/>
  <c r="H66" i="10"/>
  <c r="K66" i="10" s="1"/>
  <c r="H67" i="10"/>
  <c r="K67" i="10" s="1"/>
  <c r="H48" i="10"/>
  <c r="G48" i="10"/>
  <c r="J48" i="10" s="1"/>
  <c r="F51" i="10"/>
  <c r="I51" i="10" s="1"/>
  <c r="F52" i="10"/>
  <c r="I52" i="10" s="1"/>
  <c r="F53" i="10"/>
  <c r="I53" i="10" s="1"/>
  <c r="F54" i="10"/>
  <c r="I54" i="10" s="1"/>
  <c r="F55" i="10"/>
  <c r="I55" i="10" s="1"/>
  <c r="F56" i="10"/>
  <c r="I56" i="10" s="1"/>
  <c r="F57" i="10"/>
  <c r="I57" i="10" s="1"/>
  <c r="F58" i="10"/>
  <c r="I58" i="10" s="1"/>
  <c r="F59" i="10"/>
  <c r="I59" i="10" s="1"/>
  <c r="F60" i="10"/>
  <c r="I60" i="10" s="1"/>
  <c r="F61" i="10"/>
  <c r="I61" i="10" s="1"/>
  <c r="F62" i="10"/>
  <c r="I62" i="10" s="1"/>
  <c r="F63" i="10"/>
  <c r="I63" i="10" s="1"/>
  <c r="F64" i="10"/>
  <c r="I64" i="10" s="1"/>
  <c r="F65" i="10"/>
  <c r="I65" i="10" s="1"/>
  <c r="F66" i="10"/>
  <c r="I66" i="10" s="1"/>
  <c r="F67" i="10"/>
  <c r="I67" i="10" s="1"/>
  <c r="F50" i="10"/>
  <c r="I50" i="10" s="1"/>
  <c r="N50" i="10" s="1"/>
  <c r="G51" i="10"/>
  <c r="J51" i="10" s="1"/>
  <c r="G52" i="10"/>
  <c r="J52" i="10" s="1"/>
  <c r="G53" i="10"/>
  <c r="J53" i="10" s="1"/>
  <c r="G54" i="10"/>
  <c r="J54" i="10" s="1"/>
  <c r="G55" i="10"/>
  <c r="J55" i="10" s="1"/>
  <c r="G56" i="10"/>
  <c r="J56" i="10" s="1"/>
  <c r="G57" i="10"/>
  <c r="J57" i="10" s="1"/>
  <c r="G58" i="10"/>
  <c r="J58" i="10" s="1"/>
  <c r="G59" i="10"/>
  <c r="J59" i="10" s="1"/>
  <c r="G60" i="10"/>
  <c r="J60" i="10" s="1"/>
  <c r="G61" i="10"/>
  <c r="J61" i="10" s="1"/>
  <c r="G62" i="10"/>
  <c r="J62" i="10" s="1"/>
  <c r="G63" i="10"/>
  <c r="J63" i="10" s="1"/>
  <c r="G64" i="10"/>
  <c r="J64" i="10" s="1"/>
  <c r="G65" i="10"/>
  <c r="J65" i="10" s="1"/>
  <c r="G66" i="10"/>
  <c r="J66" i="10" s="1"/>
  <c r="G67" i="10"/>
  <c r="J67" i="10" s="1"/>
  <c r="G50" i="10"/>
  <c r="G49" i="10"/>
  <c r="J49" i="10" s="1"/>
  <c r="L55" i="10" l="1"/>
  <c r="L98" i="10"/>
  <c r="L66" i="10"/>
  <c r="L58" i="10"/>
  <c r="L91" i="10"/>
  <c r="L109" i="10"/>
  <c r="L67" i="10"/>
  <c r="L59" i="10"/>
  <c r="L65" i="10"/>
  <c r="L57" i="10"/>
  <c r="L102" i="10"/>
  <c r="L94" i="10"/>
  <c r="L104" i="10"/>
  <c r="L108" i="10"/>
  <c r="L56" i="10"/>
  <c r="L107" i="10"/>
  <c r="L96" i="10"/>
  <c r="L106" i="10"/>
  <c r="L99" i="10"/>
  <c r="L105" i="10"/>
  <c r="L63" i="10"/>
  <c r="L54" i="10"/>
  <c r="L64" i="10"/>
  <c r="L62" i="10"/>
  <c r="L53" i="10"/>
  <c r="L60" i="10"/>
  <c r="L52" i="10"/>
  <c r="L100" i="10"/>
  <c r="L92" i="10"/>
  <c r="L103" i="10"/>
  <c r="L61" i="10"/>
  <c r="L95" i="10"/>
  <c r="N92" i="10"/>
  <c r="N110" i="10" s="1"/>
  <c r="L93" i="10"/>
  <c r="L101" i="10"/>
  <c r="J110" i="10"/>
  <c r="K110" i="10"/>
  <c r="L97" i="10"/>
  <c r="L90" i="10"/>
  <c r="I110" i="10"/>
  <c r="I68" i="10"/>
  <c r="M48" i="10" s="1"/>
  <c r="P48" i="10" s="1"/>
  <c r="M97" i="10" l="1"/>
  <c r="P97" i="10" s="1"/>
  <c r="M105" i="10"/>
  <c r="P105" i="10" s="1"/>
  <c r="M98" i="10"/>
  <c r="P98" i="10" s="1"/>
  <c r="M106" i="10"/>
  <c r="P106" i="10" s="1"/>
  <c r="M91" i="10"/>
  <c r="P91" i="10" s="1"/>
  <c r="M99" i="10"/>
  <c r="P99" i="10" s="1"/>
  <c r="M107" i="10"/>
  <c r="P107" i="10" s="1"/>
  <c r="M100" i="10"/>
  <c r="P100" i="10" s="1"/>
  <c r="M108" i="10"/>
  <c r="P108" i="10" s="1"/>
  <c r="M93" i="10"/>
  <c r="P93" i="10" s="1"/>
  <c r="M101" i="10"/>
  <c r="P101" i="10" s="1"/>
  <c r="M109" i="10"/>
  <c r="P109" i="10" s="1"/>
  <c r="M95" i="10"/>
  <c r="P95" i="10" s="1"/>
  <c r="M94" i="10"/>
  <c r="P94" i="10" s="1"/>
  <c r="M102" i="10"/>
  <c r="P102" i="10" s="1"/>
  <c r="M90" i="10"/>
  <c r="M103" i="10"/>
  <c r="P103" i="10" s="1"/>
  <c r="M96" i="10"/>
  <c r="P96" i="10" s="1"/>
  <c r="M104" i="10"/>
  <c r="P104" i="10" s="1"/>
  <c r="M92" i="10"/>
  <c r="P92" i="10" s="1"/>
  <c r="L110" i="10"/>
  <c r="C113" i="10" s="1"/>
  <c r="M64" i="10"/>
  <c r="P64" i="10" s="1"/>
  <c r="M61" i="10"/>
  <c r="P61" i="10" s="1"/>
  <c r="M49" i="10"/>
  <c r="P49" i="10" s="1"/>
  <c r="M56" i="10"/>
  <c r="P56" i="10" s="1"/>
  <c r="M53" i="10"/>
  <c r="P53" i="10" s="1"/>
  <c r="M52" i="10"/>
  <c r="P52" i="10" s="1"/>
  <c r="M62" i="10"/>
  <c r="P62" i="10" s="1"/>
  <c r="M60" i="10"/>
  <c r="P60" i="10" s="1"/>
  <c r="M54" i="10"/>
  <c r="P54" i="10" s="1"/>
  <c r="M67" i="10"/>
  <c r="P67" i="10" s="1"/>
  <c r="M66" i="10"/>
  <c r="P66" i="10" s="1"/>
  <c r="M50" i="10"/>
  <c r="P50" i="10" s="1"/>
  <c r="M58" i="10"/>
  <c r="P58" i="10" s="1"/>
  <c r="M59" i="10"/>
  <c r="P59" i="10" s="1"/>
  <c r="M65" i="10"/>
  <c r="P65" i="10" s="1"/>
  <c r="M63" i="10"/>
  <c r="P63" i="10" s="1"/>
  <c r="M51" i="10"/>
  <c r="P51" i="10" s="1"/>
  <c r="M57" i="10"/>
  <c r="P57" i="10" s="1"/>
  <c r="M55" i="10"/>
  <c r="P55" i="10" s="1"/>
  <c r="C115" i="10" l="1"/>
  <c r="M133" i="10"/>
  <c r="N133" i="10" s="1"/>
  <c r="O133" i="10" s="1"/>
  <c r="P90" i="10"/>
  <c r="P110" i="10" s="1"/>
  <c r="M135" i="10" s="1"/>
  <c r="M110" i="10"/>
  <c r="P68" i="10"/>
  <c r="K51" i="10"/>
  <c r="B155" i="10"/>
  <c r="C116" i="10" s="1"/>
  <c r="G136" i="10" l="1"/>
  <c r="N136" i="10" s="1"/>
  <c r="O136" i="10" s="1"/>
  <c r="C124" i="10" s="1"/>
  <c r="C32" i="10" s="1"/>
  <c r="M132" i="10"/>
  <c r="N132" i="10" s="1"/>
  <c r="O132" i="10" s="1"/>
  <c r="C123" i="10" s="1"/>
  <c r="C31" i="10" s="1"/>
  <c r="C74" i="10"/>
  <c r="L51" i="10"/>
  <c r="J50" i="10" l="1"/>
  <c r="K50" i="10"/>
  <c r="N68" i="10"/>
  <c r="L50" i="10" l="1"/>
  <c r="C11" i="10" l="1"/>
  <c r="N124" i="5"/>
  <c r="M124" i="5"/>
  <c r="N162" i="5"/>
  <c r="N125" i="5"/>
  <c r="N126" i="5"/>
  <c r="N127" i="5"/>
  <c r="N128" i="5"/>
  <c r="N129" i="5"/>
  <c r="N130" i="5"/>
  <c r="N131" i="5"/>
  <c r="N132" i="5"/>
  <c r="N133" i="5"/>
  <c r="N134" i="5"/>
  <c r="N135" i="5"/>
  <c r="N136" i="5"/>
  <c r="N137" i="5"/>
  <c r="N138" i="5"/>
  <c r="N139" i="5"/>
  <c r="N140" i="5"/>
  <c r="N141" i="5"/>
  <c r="N142" i="5"/>
  <c r="N143" i="5"/>
  <c r="N144" i="5"/>
  <c r="N145" i="5"/>
  <c r="N146" i="5"/>
  <c r="N147" i="5"/>
  <c r="N163" i="5"/>
  <c r="N164" i="5"/>
  <c r="K49" i="10"/>
  <c r="L49" i="10" l="1"/>
  <c r="J68" i="10"/>
  <c r="M128" i="5"/>
  <c r="K48" i="10" l="1"/>
  <c r="K68" i="10" s="1"/>
  <c r="L48" i="10" l="1"/>
  <c r="L68" i="10" s="1"/>
  <c r="C71" i="10" s="1"/>
  <c r="C30" i="10" s="1"/>
  <c r="M68" i="10"/>
  <c r="C73" i="10" l="1"/>
  <c r="K21" i="6"/>
  <c r="I13" i="6" l="1"/>
  <c r="I15" i="6" s="1"/>
  <c r="E7" i="7"/>
  <c r="M156" i="5"/>
  <c r="M155" i="5"/>
  <c r="M154" i="5"/>
  <c r="M153" i="5"/>
  <c r="M152" i="5"/>
  <c r="M150" i="5"/>
  <c r="M148" i="5"/>
  <c r="M145" i="5"/>
  <c r="M144" i="5"/>
  <c r="M143" i="5"/>
  <c r="M142" i="5"/>
  <c r="Q150" i="5"/>
  <c r="P150" i="5"/>
  <c r="O150" i="5"/>
  <c r="M135" i="5"/>
  <c r="M134" i="5"/>
  <c r="Q139" i="5"/>
  <c r="P139" i="5"/>
  <c r="M157" i="5" s="1"/>
  <c r="O139" i="5"/>
  <c r="Q124" i="5"/>
  <c r="P124" i="5"/>
  <c r="O124" i="5"/>
  <c r="G147" i="5"/>
  <c r="G146" i="5"/>
  <c r="G141" i="5"/>
  <c r="G140" i="5"/>
  <c r="G139" i="5"/>
  <c r="F149" i="5"/>
  <c r="F148" i="5"/>
  <c r="F147" i="5"/>
  <c r="F146" i="5"/>
  <c r="F145" i="5"/>
  <c r="G145" i="5" s="1"/>
  <c r="F144" i="5"/>
  <c r="G144" i="5" s="1"/>
  <c r="F143" i="5"/>
  <c r="G143" i="5" s="1"/>
  <c r="F142" i="5"/>
  <c r="G142" i="5" s="1"/>
  <c r="F141" i="5"/>
  <c r="F140" i="5"/>
  <c r="F139" i="5"/>
  <c r="M130" i="5"/>
  <c r="M129" i="5"/>
  <c r="M131" i="5"/>
  <c r="M125" i="5"/>
  <c r="M126" i="5"/>
  <c r="M127" i="5"/>
  <c r="M138" i="5" l="1"/>
  <c r="M147" i="5"/>
  <c r="M149" i="5"/>
  <c r="M137" i="5"/>
  <c r="M151" i="5"/>
  <c r="M132" i="5"/>
  <c r="M160" i="5"/>
  <c r="M139" i="5"/>
  <c r="M158" i="5"/>
  <c r="M136" i="5"/>
  <c r="M140" i="5"/>
  <c r="M133" i="5"/>
  <c r="M161" i="5"/>
  <c r="M141" i="5"/>
  <c r="M159" i="5"/>
  <c r="M146" i="5"/>
  <c r="D7" i="7"/>
  <c r="G31" i="5" l="1"/>
  <c r="F31" i="5"/>
  <c r="E31" i="5"/>
  <c r="F5" i="6"/>
  <c r="F6" i="6"/>
  <c r="F7" i="6"/>
  <c r="H7" i="6" s="1"/>
  <c r="F8" i="6"/>
  <c r="F9" i="6"/>
  <c r="F10" i="6"/>
  <c r="H10" i="6" s="1"/>
  <c r="F11" i="6"/>
  <c r="H11" i="6" s="1"/>
  <c r="F4" i="6"/>
  <c r="B25" i="6"/>
  <c r="E25" i="6" s="1"/>
  <c r="B24" i="6"/>
  <c r="E24" i="6" s="1"/>
  <c r="H6" i="6"/>
  <c r="C20" i="6"/>
  <c r="H8" i="6" l="1"/>
  <c r="H9" i="6"/>
  <c r="H4" i="6"/>
  <c r="H5" i="6"/>
  <c r="C97" i="5"/>
  <c r="E9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2" authorId="0" shapeId="0" xr:uid="{80E87E31-5848-4AED-A609-408AE8005F4F}">
      <text>
        <r>
          <rPr>
            <b/>
            <sz val="8"/>
            <rFont val="Tahoma"/>
            <family val="2"/>
          </rPr>
          <t xml:space="preserve">m3 põhisel arvutusel tuleks lähtuda normaalrõhust
</t>
        </r>
      </text>
    </comment>
    <comment ref="E50" authorId="0" shapeId="0" xr:uid="{E342E955-6BA6-4D7E-85EB-91776858DD8B}">
      <text>
        <r>
          <rPr>
            <b/>
            <sz val="8"/>
            <rFont val="Tahoma"/>
            <family val="2"/>
          </rPr>
          <t xml:space="preserve">m3 põhisel arvutusel tuleks lähtuda normaalrõhust
</t>
        </r>
      </text>
    </comment>
    <comment ref="B86" authorId="0" shapeId="0" xr:uid="{718AC993-382C-441B-90C2-8FE8542EE1B6}">
      <text>
        <r>
          <rPr>
            <b/>
            <sz val="8"/>
            <rFont val="Tahoma"/>
            <family val="2"/>
          </rPr>
          <t xml:space="preserve">Elektrienergia päritolutunnistusega tõendatud taastuvenergia, sh roheelektri lepinguga ostetud elektrienergia
</t>
        </r>
      </text>
    </comment>
    <comment ref="B87" authorId="0" shapeId="0" xr:uid="{49DA4625-5A04-4A52-9C15-8CD23B8DCBBB}">
      <text>
        <r>
          <rPr>
            <b/>
            <sz val="8"/>
            <rFont val="Tahoma"/>
            <family val="2"/>
          </rPr>
          <t xml:space="preserve">Tõendamata päritoluga elektrienergia
</t>
        </r>
      </text>
    </comment>
    <comment ref="D87" authorId="0" shapeId="0" xr:uid="{9C9425AF-75D0-450A-BDEF-FBA488C4AA80}">
      <text>
        <r>
          <rPr>
            <b/>
            <sz val="8"/>
            <rFont val="Tahoma"/>
            <family val="2"/>
          </rPr>
          <t xml:space="preserve">Tegu on praegu CO2 heiteteguriga, edaspidi annab Elering segajäägi heiteteguri CO2 ekvivalentides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Eva-Ingrid Rõõm</author>
  </authors>
  <commentList>
    <comment ref="D10" authorId="0" shapeId="0" xr:uid="{390740D8-868E-4C8C-9745-F0DE6F119569}">
      <text>
        <r>
          <rPr>
            <sz val="9"/>
            <color indexed="81"/>
            <rFont val="Tahoma"/>
            <family val="2"/>
          </rPr>
          <t>2020. aasta keskmine https://elering.ee/vorgugaasi-kvaliteet, arvestades et biometaan peab vastama võrgugaasi kvaliteedi nõuetele:https://www.riigiteataja.ee/akt/129072017006?leiaKehtiv</t>
        </r>
      </text>
    </comment>
    <comment ref="D11" authorId="1" shapeId="0" xr:uid="{E3CAEDEC-81D0-4D11-AFF2-BB96E4EFFA90}">
      <text>
        <r>
          <rPr>
            <sz val="9"/>
            <color indexed="81"/>
            <rFont val="Segoe UI"/>
            <family val="2"/>
          </rPr>
          <t>EL taastuvenergia direktiiv 2018/2001, III LISA, Kütuste energiasisaldus, lk 143. Viide: https://eur-lex.europa.eu/legal-content/ET/TXT/PDF/?uri=CELEX:32018L2001&amp;from=ET</t>
        </r>
      </text>
    </comment>
  </commentList>
</comments>
</file>

<file path=xl/sharedStrings.xml><?xml version="1.0" encoding="utf-8"?>
<sst xmlns="http://schemas.openxmlformats.org/spreadsheetml/2006/main" count="1204" uniqueCount="657">
  <si>
    <t>ja</t>
  </si>
  <si>
    <t>EEDI</t>
  </si>
  <si>
    <t>https://wwwcdn.imo.org/localresources/en/OurWork/Environment/Documents/Air%20pollution/MEPC.328%2876%29.pdf</t>
  </si>
  <si>
    <t>%</t>
  </si>
  <si>
    <t>t/a</t>
  </si>
  <si>
    <t>Taotleja</t>
  </si>
  <si>
    <t>Projekti kogumaksumus ilma käibemaksuta</t>
  </si>
  <si>
    <t>€</t>
  </si>
  <si>
    <t>Toetuse suurus</t>
  </si>
  <si>
    <t>MWh</t>
  </si>
  <si>
    <t>Biometaan</t>
  </si>
  <si>
    <t>-</t>
  </si>
  <si>
    <t>MJ</t>
  </si>
  <si>
    <t>MWh/a</t>
  </si>
  <si>
    <t>Viide</t>
  </si>
  <si>
    <t>Valikvastus</t>
  </si>
  <si>
    <t>Eriheited</t>
  </si>
  <si>
    <t>Laevatüüp ja suurus</t>
  </si>
  <si>
    <t>Eriheitetegur</t>
  </si>
  <si>
    <t>Ühik</t>
  </si>
  <si>
    <t>Andmeallikas</t>
  </si>
  <si>
    <t>Kemikaalitanker (keskmistatud)</t>
  </si>
  <si>
    <r>
      <t>kg CO</t>
    </r>
    <r>
      <rPr>
        <vertAlign val="subscript"/>
        <sz val="11"/>
        <rFont val="Cambria"/>
        <family val="1"/>
      </rPr>
      <t xml:space="preserve">2 </t>
    </r>
    <r>
      <rPr>
        <sz val="11"/>
        <rFont val="Cambria"/>
        <family val="1"/>
      </rPr>
      <t>ekv/tonn-km</t>
    </r>
  </si>
  <si>
    <t xml:space="preserve">UK GHG Conversion Factors 2021 (keskmistatud võttes arvesse üldlevinud kemikaalitankerite suurust/tüüpi ja kasutamist) </t>
  </si>
  <si>
    <t>Konteinerilaev (keskmistatud)</t>
  </si>
  <si>
    <t xml:space="preserve">UK GHG Conversion Factors 2021 (keskmistatud võttes arvesse üldlevinud konteinerilaevade suurust/tüüpi ja kasutamist) </t>
  </si>
  <si>
    <t>Külmutatud kauba laev (kõik DWT-d)</t>
  </si>
  <si>
    <t xml:space="preserve">UK GHG Conversion Factors 2021 (keskmistatud võttes arvesse üldlevinud külmutatud laevade suurust/tüüpi ja kasutamist) </t>
  </si>
  <si>
    <t>LNG tanker (keskmistatud)</t>
  </si>
  <si>
    <t xml:space="preserve">UK GHG Conversion Factors 2021 (keskmistatud võttes arvesse üldlevinud LNG tankerite suurust/tüüpi ja kasutamist) </t>
  </si>
  <si>
    <t>LPG tanker (keskmistatud)</t>
  </si>
  <si>
    <t xml:space="preserve">UK GHG Conversion Factors 2021 (keskmistatud võttes arvesse üldlevinud LPG tankerite suurust/tüüpi ja kasutamist) </t>
  </si>
  <si>
    <t>Naftatanker (keskmistatud)</t>
  </si>
  <si>
    <t xml:space="preserve">UK GHG Conversion Factors 2021 (keskmistatud võttes arvesse üldlevinud naftatankerite suurust/tüüpi ja kasutamist) </t>
  </si>
  <si>
    <t>Parvlaev (reisi-kaubalaev, nt Tallinn-Helsingi/Stockholm)</t>
  </si>
  <si>
    <t>LIPASTO</t>
  </si>
  <si>
    <t>Puistlastilaev (bulker) (keskmistatud)</t>
  </si>
  <si>
    <t xml:space="preserve">UK GHG Conversion Factors 2021 (keskmistatud võttes arvesse üldlevinud puitlastilaevade suurust/tüüpi ja kasutamist) </t>
  </si>
  <si>
    <t>Ro-ro/ro-pax laev (2000+ LM)</t>
  </si>
  <si>
    <t>UK GHG Conversion Factors 2021</t>
  </si>
  <si>
    <t>Ro-ro/ro-pax laev (valdav osa Eesti ja Põhjamaade vahel sõitvatest laevadest) (kuni 2000 LM)</t>
  </si>
  <si>
    <t>kg CO₂ ekv/tonn-km</t>
  </si>
  <si>
    <t xml:space="preserve">UK GHG Conversion Factors 2021 </t>
  </si>
  <si>
    <t>Sõidukite transpordilaev (keskmistatud)</t>
  </si>
  <si>
    <t xml:space="preserve">UK GHG Conversion Factors 2021 (keskmistatud võttes arvesse üldlevinud transpordilaevade suurust/tüüpi ja kasutamist) </t>
  </si>
  <si>
    <t>Tootetanker (keskmistatud)</t>
  </si>
  <si>
    <t xml:space="preserve">UK GHG Conversion Factors 2021 (keskmistatud võttes arvesse üldlevinud tootetankerite suurust/tüüpi ja kasutamist) </t>
  </si>
  <si>
    <t>Üldkaubalaev (keskmistatud)</t>
  </si>
  <si>
    <t xml:space="preserve">UK GHG Conversion Factors 2021 (keskmistatud võttes arvesse üldlevinud üldkaubalevade suurust/tüüpi ja kasutamist) </t>
  </si>
  <si>
    <t>https://kliimaministeerium.ee/sites/default/files/documents/2024-11/KHG%20jalaj%C3%A4lje%20arvutusmudel%202024.11.19.xlsx</t>
  </si>
  <si>
    <t>https://www.gov.uk/government/collections/government-conversion-factors-for-company-reporting</t>
  </si>
  <si>
    <t>Viited</t>
  </si>
  <si>
    <t>VTT LIPASTO calculation system for transport exhaust emissions and energy use in Finland</t>
  </si>
  <si>
    <t>http://lipasto.vtt.fi/en/index.htm</t>
  </si>
  <si>
    <t>Laevatüüp ja suurus  valikvastusena</t>
  </si>
  <si>
    <t>Kemikaalitanker</t>
  </si>
  <si>
    <t>Konteinerilaev</t>
  </si>
  <si>
    <t>Külmutatud kauba laev</t>
  </si>
  <si>
    <t>LNG tanker</t>
  </si>
  <si>
    <t>LPG tanker</t>
  </si>
  <si>
    <t>Naftatanker</t>
  </si>
  <si>
    <t>Puistlastilaev (bulker)</t>
  </si>
  <si>
    <t>Ro-ro/ro-pax laev (kuni 2000 LM)</t>
  </si>
  <si>
    <t>Sõidukite transpordilaev</t>
  </si>
  <si>
    <t>Tootetanker</t>
  </si>
  <si>
    <t>Üldkaubalaev</t>
  </si>
  <si>
    <t>Parvlaev (reisi-kaubalaev)</t>
  </si>
  <si>
    <t>MJ/MWh</t>
  </si>
  <si>
    <t>MJ/kg</t>
  </si>
  <si>
    <t>MJ/l</t>
  </si>
  <si>
    <t xml:space="preserve">2. Arvestuse pidamine kütuseliigi, maismaasõidukite tüübi ja kütuse tarbimiskoguse põhjal </t>
  </si>
  <si>
    <t>Kütuseliik, maismaasõiduki tüüp ja kütuse koguse ühik</t>
  </si>
  <si>
    <t>Kütteväärtus</t>
  </si>
  <si>
    <t>Elektroonililne viide</t>
  </si>
  <si>
    <t>Bensiin, raskeveok (l)</t>
  </si>
  <si>
    <r>
      <t>kg CO</t>
    </r>
    <r>
      <rPr>
        <i/>
        <sz val="8"/>
        <color theme="1" tint="0.499984740745262"/>
        <rFont val="Cambria"/>
        <family val="1"/>
      </rPr>
      <t xml:space="preserve">2 </t>
    </r>
    <r>
      <rPr>
        <i/>
        <sz val="11"/>
        <color theme="1" tint="0.499984740745262"/>
        <rFont val="Cambria"/>
        <family val="1"/>
      </rPr>
      <t>ekv/l</t>
    </r>
  </si>
  <si>
    <t>KHG inventuuri aruanne 2022, kütteväärtus ~31,82 MJ/l</t>
  </si>
  <si>
    <t>https://kliimaministeerium.ee/sites/default/files/documents/2023-11/KHG%20jalaj%C3%A4lje%20arvutusmudel%202023.xlsx</t>
  </si>
  <si>
    <t>Bio-CNG, raskeveok/buss (kg)</t>
  </si>
  <si>
    <r>
      <t>kg CO</t>
    </r>
    <r>
      <rPr>
        <i/>
        <sz val="8"/>
        <color theme="1" tint="0.499984740745262"/>
        <rFont val="Cambria"/>
        <family val="1"/>
      </rPr>
      <t xml:space="preserve">2 </t>
    </r>
    <r>
      <rPr>
        <i/>
        <sz val="11"/>
        <color theme="1" tint="0.499984740745262"/>
        <rFont val="Cambria"/>
        <family val="1"/>
      </rPr>
      <t>ekv/kg</t>
    </r>
  </si>
  <si>
    <t>KHG inventuuri aruanne 2022, kütteväärtus 49MJ/kg</t>
  </si>
  <si>
    <t>CNG, raskeveok/buss (kg)</t>
  </si>
  <si>
    <t>Diisel, raskeveok (l)</t>
  </si>
  <si>
    <t>KHG inventuuri aruanne 2022, kütteväärtus ~35,69 MJ/l</t>
  </si>
  <si>
    <t>LPG, raskeveok/buss (kg)</t>
  </si>
  <si>
    <t>KHG inventuuri aruanne 2022, kütteväärtus 45.5 MJ/kg</t>
  </si>
  <si>
    <t>Sõiduvahend (taastuvelekter) (kWh)</t>
  </si>
  <si>
    <r>
      <t>kg CO</t>
    </r>
    <r>
      <rPr>
        <i/>
        <vertAlign val="subscript"/>
        <sz val="11"/>
        <color theme="1" tint="0.499984740745262"/>
        <rFont val="Cambria"/>
        <family val="1"/>
      </rPr>
      <t xml:space="preserve">2 </t>
    </r>
    <r>
      <rPr>
        <i/>
        <sz val="11"/>
        <color theme="1" tint="0.499984740745262"/>
        <rFont val="Cambria"/>
        <family val="1"/>
      </rPr>
      <t>ekv/kWh</t>
    </r>
  </si>
  <si>
    <t xml:space="preserve">CoM 2017 </t>
  </si>
  <si>
    <t>Veesõiduk, laevakütus (l)</t>
  </si>
  <si>
    <r>
      <t>kg CO</t>
    </r>
    <r>
      <rPr>
        <sz val="8"/>
        <color theme="1"/>
        <rFont val="Cambria"/>
        <family val="1"/>
      </rPr>
      <t xml:space="preserve">2 </t>
    </r>
    <r>
      <rPr>
        <sz val="11"/>
        <color theme="1"/>
        <rFont val="Cambria"/>
        <family val="1"/>
      </rPr>
      <t>ekv/l</t>
    </r>
  </si>
  <si>
    <r>
      <t>kg CO</t>
    </r>
    <r>
      <rPr>
        <i/>
        <sz val="8"/>
        <color theme="1"/>
        <rFont val="Cambria"/>
        <family val="1"/>
      </rPr>
      <t xml:space="preserve">2 </t>
    </r>
    <r>
      <rPr>
        <i/>
        <sz val="11"/>
        <color theme="1"/>
        <rFont val="Cambria"/>
        <family val="1"/>
      </rPr>
      <t>ekv/l</t>
    </r>
  </si>
  <si>
    <t>Kütuste ümberarvutus massi- või mahuühikult energiaühikule</t>
  </si>
  <si>
    <t>Kütuse liik</t>
  </si>
  <si>
    <r>
      <t xml:space="preserve">Kogus </t>
    </r>
    <r>
      <rPr>
        <b/>
        <sz val="11"/>
        <color rgb="FF00B050"/>
        <rFont val="Aptos Narrow"/>
        <family val="2"/>
        <scheme val="minor"/>
      </rPr>
      <t>(sisestada siia!)</t>
    </r>
  </si>
  <si>
    <t>Energiasialdus</t>
  </si>
  <si>
    <t>Kogus energiaühikutes</t>
  </si>
  <si>
    <t>Vesinik</t>
  </si>
  <si>
    <t>GJ/t</t>
  </si>
  <si>
    <t>MWh/t</t>
  </si>
  <si>
    <t>Bensiin</t>
  </si>
  <si>
    <t>Diisel</t>
  </si>
  <si>
    <t>Biomass</t>
  </si>
  <si>
    <t>Jäätmepuit</t>
  </si>
  <si>
    <t>Biogaas</t>
  </si>
  <si>
    <t>1000 m3</t>
  </si>
  <si>
    <r>
      <t>GJ/1000 m</t>
    </r>
    <r>
      <rPr>
        <vertAlign val="superscript"/>
        <sz val="11"/>
        <color theme="1"/>
        <rFont val="Aptos Narrow"/>
        <family val="2"/>
        <scheme val="minor"/>
      </rPr>
      <t>3</t>
    </r>
  </si>
  <si>
    <r>
      <t>MWh/1000 m</t>
    </r>
    <r>
      <rPr>
        <vertAlign val="superscript"/>
        <sz val="11"/>
        <color theme="1"/>
        <rFont val="Aptos Narrow"/>
        <family val="2"/>
        <scheme val="minor"/>
      </rPr>
      <t>3</t>
    </r>
  </si>
  <si>
    <r>
      <t>GJ/1000 m</t>
    </r>
    <r>
      <rPr>
        <vertAlign val="superscript"/>
        <sz val="11"/>
        <rFont val="Aptos Narrow"/>
        <family val="2"/>
        <scheme val="minor"/>
      </rPr>
      <t>3</t>
    </r>
  </si>
  <si>
    <r>
      <t>MWh/1000 m</t>
    </r>
    <r>
      <rPr>
        <vertAlign val="superscript"/>
        <sz val="11"/>
        <rFont val="Aptos Narrow"/>
        <family val="2"/>
        <scheme val="minor"/>
      </rPr>
      <t>3</t>
    </r>
  </si>
  <si>
    <t>Teisendus:</t>
  </si>
  <si>
    <r>
      <rPr>
        <b/>
        <sz val="11"/>
        <color theme="1"/>
        <rFont val="Aptos Narrow"/>
        <family val="2"/>
        <scheme val="minor"/>
      </rPr>
      <t>* 277.778</t>
    </r>
    <r>
      <rPr>
        <sz val="11"/>
        <color theme="1"/>
        <rFont val="Aptos Narrow"/>
        <family val="2"/>
        <charset val="186"/>
        <scheme val="minor"/>
      </rPr>
      <t xml:space="preserve"> - teisendus TJ -&gt;MWh, 1 TJ = 277,778 MWh; / 1000 TJ &gt; GJ</t>
    </r>
  </si>
  <si>
    <t>Vesiniku energiatihedus:</t>
  </si>
  <si>
    <t>kWh/kg</t>
  </si>
  <si>
    <t>Allikas: EESTI VESINIKURESSURSSIDE KASUTUSELEVÕTU ANALÜÜS, lõpparuanne, lk 36 https://cdn.sei.org/wp-content/uploads/2021/07/lopparuanne-vesinikuressursside-kasutamise-analuus.pdf või ka https://en.wikipedia.org/wiki/Energy_density, tabel „Energy released by chemical reactions (oxidation)“, rida 3 – gaasiline vesinik normaalrõhul.</t>
  </si>
  <si>
    <t>MJ/kg=GJ/t</t>
  </si>
  <si>
    <t>kWh/kg=MWh/t</t>
  </si>
  <si>
    <t>Selgitus: Tegemist on abitabeliga! Siit saadud Koguse tonnides saab sisestada tabelisse "Kütuste ümberarvutus massi- või mahuühikult energiaühikule" tulpa "Kogus"</t>
  </si>
  <si>
    <t>Kütuse tihedus*</t>
  </si>
  <si>
    <r>
      <t>Kogus m</t>
    </r>
    <r>
      <rPr>
        <b/>
        <vertAlign val="superscript"/>
        <sz val="11"/>
        <color theme="1"/>
        <rFont val="Aptos Narrow"/>
        <family val="2"/>
        <scheme val="minor"/>
      </rPr>
      <t>3</t>
    </r>
  </si>
  <si>
    <t>Kogus t</t>
  </si>
  <si>
    <t>kg/m3</t>
  </si>
  <si>
    <t>* - allikas: Vedelkütuste kvaliteedinõuded, riigi teataja</t>
  </si>
  <si>
    <t>https://www.riigiteataja.ee/akt/174925</t>
  </si>
  <si>
    <t>https://wwwcdn.imo.org/localresources/en/KnowledgeCentre/IndexofIMOResolutions/MEPCDocuments/MEPC.308(73).pdf</t>
  </si>
  <si>
    <t>Propane</t>
  </si>
  <si>
    <t>Butane</t>
  </si>
  <si>
    <t xml:space="preserve">Lower calorific value (kJ/kg) </t>
  </si>
  <si>
    <t xml:space="preserve"> Carbon content CF (t-CO2/tFuel)</t>
  </si>
  <si>
    <t xml:space="preserve">Reference </t>
  </si>
  <si>
    <t>Type of fuel</t>
  </si>
  <si>
    <t>1 Diesel/Gas Oil</t>
  </si>
  <si>
    <t>ISO 8217 Grades
DMX through DMB</t>
  </si>
  <si>
    <t>2 Light Fuel Oil (LFO)</t>
  </si>
  <si>
    <t>ISO 8217 Grades RMA through RMD</t>
  </si>
  <si>
    <t>3 Heavy Fuel Oil
(HFO)</t>
  </si>
  <si>
    <t>ISO 8217 Grades
RME through RMK</t>
  </si>
  <si>
    <t>4 Liquefied Petroleum
Gas (LPG)</t>
  </si>
  <si>
    <t>5 Liquefied Natural Gas (LNG)</t>
  </si>
  <si>
    <t>6 Methanol</t>
  </si>
  <si>
    <t>7 Ethanol</t>
  </si>
  <si>
    <t>RESOLUTION MEPC.308(73) (adopted on 26 October 2018)
2018 GUIDELINES ON THE METHOD OF CALCULATION OF THE ATTAINED ENERGY
EFFICIENCY DESIGN INDEX (EEDI) FOR NEW SHIPS</t>
  </si>
  <si>
    <t>Kütuse tüüp</t>
  </si>
  <si>
    <t>Kütuse-/energialiik</t>
  </si>
  <si>
    <t>Biomass (nt puiduhake, saepuru) (kg)</t>
  </si>
  <si>
    <r>
      <t>kg CO</t>
    </r>
    <r>
      <rPr>
        <sz val="8"/>
        <rFont val="Cambria"/>
        <family val="1"/>
      </rPr>
      <t xml:space="preserve">2 </t>
    </r>
    <r>
      <rPr>
        <sz val="11"/>
        <rFont val="Cambria"/>
        <family val="1"/>
      </rPr>
      <t>ekv/kg</t>
    </r>
  </si>
  <si>
    <t>KHG inventuuri aruanne 2022, kütteväärtus 11,9 MJ/kg</t>
  </si>
  <si>
    <t>Biomass (nt puiduhake, saepuru) (kWh)</t>
  </si>
  <si>
    <r>
      <t>kg CO</t>
    </r>
    <r>
      <rPr>
        <sz val="8"/>
        <rFont val="Cambria"/>
        <family val="1"/>
      </rPr>
      <t xml:space="preserve">2 </t>
    </r>
    <r>
      <rPr>
        <sz val="11"/>
        <rFont val="Cambria"/>
        <family val="1"/>
      </rPr>
      <t>ekv/kWh</t>
    </r>
  </si>
  <si>
    <t>KHG inventuuri aruanne 2022, katlad 1-50MW</t>
  </si>
  <si>
    <t>Biometaan (kWh)</t>
  </si>
  <si>
    <t>Biometaan (mᶟ)</t>
  </si>
  <si>
    <r>
      <t>kg CO</t>
    </r>
    <r>
      <rPr>
        <sz val="8"/>
        <rFont val="Cambria"/>
        <family val="1"/>
      </rPr>
      <t xml:space="preserve">2 </t>
    </r>
    <r>
      <rPr>
        <sz val="11"/>
        <rFont val="Cambria"/>
        <family val="1"/>
      </rPr>
      <t>ekv/m</t>
    </r>
    <r>
      <rPr>
        <vertAlign val="superscript"/>
        <sz val="11"/>
        <rFont val="Cambria"/>
        <family val="1"/>
      </rPr>
      <t>3</t>
    </r>
  </si>
  <si>
    <r>
      <t>KHG inventuuri aruanne 2022, katlad 1-50MW, 2020. a maagaasi keskmine alumine kütteväärtus ca 34,13 MJ/m</t>
    </r>
    <r>
      <rPr>
        <vertAlign val="superscript"/>
        <sz val="11"/>
        <rFont val="Cambria"/>
        <family val="1"/>
      </rPr>
      <t>3</t>
    </r>
    <r>
      <rPr>
        <sz val="11"/>
        <rFont val="Cambria"/>
        <family val="1"/>
      </rPr>
      <t xml:space="preserve"> (Elering: https://elering.ee/vorgugaasi-kvaliteet)</t>
    </r>
  </si>
  <si>
    <t>Diisel (kWh)</t>
  </si>
  <si>
    <t>KHG inventuuri aruanne 2022</t>
  </si>
  <si>
    <t>Diisel (l)</t>
  </si>
  <si>
    <t>Kerge kütteõli (kg)</t>
  </si>
  <si>
    <t>KHG inventuuri aruanne 2022, kütteväärtus 42,5 MJ/kg</t>
  </si>
  <si>
    <t>Kerge kütteõli (kWh)</t>
  </si>
  <si>
    <t>Kivisüsi (kg)</t>
  </si>
  <si>
    <t>KHG inventuuri aruanne 2022, 2020. a kivisöe kütteväärtus 24,94 MJ/kg (Statistikaamet)</t>
  </si>
  <si>
    <t>Kivisüsi (kWh)</t>
  </si>
  <si>
    <t>Maagaas (kWh)</t>
  </si>
  <si>
    <t>Maagaas (mᶟ)</t>
  </si>
  <si>
    <t>Olmejäätmed (kWh)</t>
  </si>
  <si>
    <t>Põlevkivi (kWh)</t>
  </si>
  <si>
    <t>Põlevkivi generaatorgaas (Kiviõli) (kWh)</t>
  </si>
  <si>
    <t>Põlevkivi generaatorgaas (VKG) (kWh)</t>
  </si>
  <si>
    <t>Põlevkivi poolkoksigaas (Enefit 280) (kWh)</t>
  </si>
  <si>
    <t>Põlevkivi poolkoksigaas (Kiviõli) (kWh)</t>
  </si>
  <si>
    <t>Põlevkivi poolkoksigaas (VKG Petr I) (kWh)</t>
  </si>
  <si>
    <t>Põlevkivi poolkoksigaas (VKG Petr II) (kWh)</t>
  </si>
  <si>
    <t>Põlevkivi poolkoksigaas (VKG Petr III) (kWh)</t>
  </si>
  <si>
    <t>Põlevkiviõli kerge fraktsioon (kg)</t>
  </si>
  <si>
    <t>KHG inventuuri aruanne 2022, kütteväärtus 42,3 MJ/kg</t>
  </si>
  <si>
    <t>Põlevkiviõli kerge fraktsioon (kWh)</t>
  </si>
  <si>
    <t>Põlevkiviõli raske fraktsioon (kg)</t>
  </si>
  <si>
    <t>KHG inventuuri aruanne 2022, kütteväärtus 39,22 MJ/kg</t>
  </si>
  <si>
    <t>Põlevkiviõli raske fraktsioon (kWh)</t>
  </si>
  <si>
    <t>Päikeseenergia (kWh)</t>
  </si>
  <si>
    <t>Raske kütteõli (kg)</t>
  </si>
  <si>
    <t>KHG inventuuri aruanne 2022, kütteväärtus 40,15 MJ/kg</t>
  </si>
  <si>
    <t>Raske kütteõli (kWh)</t>
  </si>
  <si>
    <t>Roheline vesinik (kWh)</t>
  </si>
  <si>
    <t>JEC WTT v5 Appendix 1</t>
  </si>
  <si>
    <t>Turbabrikett (kg)</t>
  </si>
  <si>
    <t>KHG inventuuri aruanne 2022, kütteväärtus 16,0 MJ/kg</t>
  </si>
  <si>
    <t>Turbabrikett (kWh)</t>
  </si>
  <si>
    <t>Tuuleenergia (kWh)</t>
  </si>
  <si>
    <t>Tuumaenergia (kWh)</t>
  </si>
  <si>
    <t xml:space="preserve">JEC WTT v5 </t>
  </si>
  <si>
    <t>Tükkturvas (kWh)</t>
  </si>
  <si>
    <t>Vedelgaas (LNG) (kWh)</t>
  </si>
  <si>
    <t>Veeldatud naftagaas (LPG) (kWh)</t>
  </si>
  <si>
    <t>Kütuseliik</t>
  </si>
  <si>
    <r>
      <t>Biogeense CO</t>
    </r>
    <r>
      <rPr>
        <b/>
        <vertAlign val="subscript"/>
        <sz val="11"/>
        <color rgb="FF44546A"/>
        <rFont val="Cambria"/>
        <family val="1"/>
      </rPr>
      <t>2</t>
    </r>
    <r>
      <rPr>
        <b/>
        <sz val="11"/>
        <color rgb="FF44546A"/>
        <rFont val="Cambria"/>
        <family val="1"/>
      </rPr>
      <t xml:space="preserve"> tegur</t>
    </r>
  </si>
  <si>
    <r>
      <t>kg biogeenne CO</t>
    </r>
    <r>
      <rPr>
        <vertAlign val="subscript"/>
        <sz val="11"/>
        <color theme="1"/>
        <rFont val="Cambria"/>
        <family val="1"/>
      </rPr>
      <t>2</t>
    </r>
    <r>
      <rPr>
        <sz val="11"/>
        <color theme="1"/>
        <rFont val="Cambria"/>
        <family val="1"/>
      </rPr>
      <t>/kg</t>
    </r>
  </si>
  <si>
    <t>KHG inventuuri aruanne 2022, kütteväärtus keskmiselt 11,9 MJ/kg</t>
  </si>
  <si>
    <r>
      <t>kg biogeenne CO</t>
    </r>
    <r>
      <rPr>
        <vertAlign val="subscript"/>
        <sz val="11"/>
        <color theme="1"/>
        <rFont val="Cambria"/>
        <family val="1"/>
      </rPr>
      <t>2</t>
    </r>
    <r>
      <rPr>
        <sz val="11"/>
        <color theme="1"/>
        <rFont val="Cambria"/>
        <family val="1"/>
      </rPr>
      <t>/kWh</t>
    </r>
  </si>
  <si>
    <r>
      <t>kg biogeenne CO</t>
    </r>
    <r>
      <rPr>
        <vertAlign val="subscript"/>
        <sz val="11"/>
        <color theme="1"/>
        <rFont val="Cambria"/>
        <family val="1"/>
      </rPr>
      <t>2</t>
    </r>
    <r>
      <rPr>
        <sz val="11"/>
        <color theme="1"/>
        <rFont val="Cambria"/>
        <family val="1"/>
      </rPr>
      <t>/m</t>
    </r>
    <r>
      <rPr>
        <vertAlign val="superscript"/>
        <sz val="11"/>
        <color theme="1"/>
        <rFont val="Cambria"/>
        <family val="1"/>
      </rPr>
      <t>3</t>
    </r>
  </si>
  <si>
    <r>
      <t>KHG inventuuri aruanne 2022, 2020. a maagaasi keskmine alumine kütteväärtus ca 34,13 MJ/m</t>
    </r>
    <r>
      <rPr>
        <vertAlign val="superscript"/>
        <sz val="11"/>
        <rFont val="Cambria"/>
        <family val="1"/>
      </rPr>
      <t>3</t>
    </r>
    <r>
      <rPr>
        <sz val="11"/>
        <rFont val="Cambria"/>
        <family val="1"/>
      </rPr>
      <t xml:space="preserve"> (Elering: https://elering.ee/vorgugaasi-kvaliteet)</t>
    </r>
  </si>
  <si>
    <t>M2, M3 - SISSEOSTETUD ELEKTER</t>
  </si>
  <si>
    <t>Elektrienergia</t>
  </si>
  <si>
    <t>Taastuvelekter (päritolutunnistusega: biomassist)</t>
  </si>
  <si>
    <t>KHG inventuuri aruanne 2023</t>
  </si>
  <si>
    <t>Taastuvelekter (päritolutunnistusega: päikese-, tuule- ja/või hüdroenergiast)</t>
  </si>
  <si>
    <t>Tavaelekter (segajääk)</t>
  </si>
  <si>
    <t>Elering 2023. Elektrienergia segajäägi eriheide 2022</t>
  </si>
  <si>
    <t>Kerge kütteõli</t>
  </si>
  <si>
    <t>Raske kütteõli</t>
  </si>
  <si>
    <t>LPG, propaan</t>
  </si>
  <si>
    <t>LPG, butaan</t>
  </si>
  <si>
    <t>LPG (propaan või butaan)</t>
  </si>
  <si>
    <t>Butane and Propane</t>
  </si>
  <si>
    <t>LNG</t>
  </si>
  <si>
    <t>Metanool</t>
  </si>
  <si>
    <t>Etanool</t>
  </si>
  <si>
    <r>
      <t xml:space="preserve"> C</t>
    </r>
    <r>
      <rPr>
        <b/>
        <vertAlign val="subscript"/>
        <sz val="11"/>
        <color theme="1"/>
        <rFont val="Aptos Narrow"/>
        <family val="2"/>
        <scheme val="minor"/>
      </rPr>
      <t>F</t>
    </r>
    <r>
      <rPr>
        <b/>
        <sz val="11"/>
        <color theme="1"/>
        <rFont val="Aptos Narrow"/>
        <family val="2"/>
        <scheme val="minor"/>
      </rPr>
      <t xml:space="preserve"> (t-CO2/tFuel)</t>
    </r>
  </si>
  <si>
    <r>
      <t>kg CO</t>
    </r>
    <r>
      <rPr>
        <b/>
        <sz val="8"/>
        <rFont val="Cambria"/>
        <family val="1"/>
      </rPr>
      <t xml:space="preserve">2 </t>
    </r>
    <r>
      <rPr>
        <b/>
        <sz val="11"/>
        <rFont val="Cambria"/>
        <family val="1"/>
      </rPr>
      <t>ekv/kWh</t>
    </r>
  </si>
  <si>
    <r>
      <t>kg CO</t>
    </r>
    <r>
      <rPr>
        <b/>
        <vertAlign val="subscript"/>
        <sz val="11"/>
        <color theme="1"/>
        <rFont val="Cambria"/>
        <family val="1"/>
      </rPr>
      <t xml:space="preserve">2 </t>
    </r>
    <r>
      <rPr>
        <b/>
        <sz val="11"/>
        <color theme="1"/>
        <rFont val="Cambria"/>
        <family val="1"/>
      </rPr>
      <t>ekv/kWh</t>
    </r>
  </si>
  <si>
    <r>
      <t>kg CO</t>
    </r>
    <r>
      <rPr>
        <b/>
        <vertAlign val="subscript"/>
        <sz val="11"/>
        <color theme="1"/>
        <rFont val="Cambria"/>
        <family val="1"/>
      </rPr>
      <t>2</t>
    </r>
    <r>
      <rPr>
        <b/>
        <sz val="11"/>
        <color theme="1"/>
        <rFont val="Cambria"/>
        <family val="1"/>
      </rPr>
      <t>/kWh</t>
    </r>
  </si>
  <si>
    <t>KHG jalajälje arvutusmudel 2024.19.11.xlsx | 710.39 KB | xlsx</t>
  </si>
  <si>
    <t>Kliimaministeerium</t>
  </si>
  <si>
    <t>https://kliimaministeerium.ee/rohereform-kliima/rohereform/organisatsioonide-khg-jalajalg#mudel</t>
  </si>
  <si>
    <t>Parvlaev, reisi-kaubalaev (nt Tallinn-Helsingi/Stockholm)</t>
  </si>
  <si>
    <t>kg CO2 ekv/sõitja-km</t>
  </si>
  <si>
    <t>Parvlaev (reisilaev)</t>
  </si>
  <si>
    <t>https://eur-lex.europa.eu/legal-content/ET/TXT/PDF/?uri=CELEX:32023R1805</t>
  </si>
  <si>
    <t>kWh</t>
  </si>
  <si>
    <t>Juhised arvutuseks on toodud  KOMISJONI RAKENDUSMÄÄRUS (EL) 2024/2031</t>
  </si>
  <si>
    <r>
      <t>P</t>
    </r>
    <r>
      <rPr>
        <vertAlign val="subscript"/>
        <sz val="11"/>
        <color theme="1"/>
        <rFont val="Aptos Narrow"/>
        <family val="2"/>
        <scheme val="minor"/>
      </rPr>
      <t>wind</t>
    </r>
    <r>
      <rPr>
        <sz val="11"/>
        <color theme="1"/>
        <rFont val="Aptos Narrow"/>
        <family val="2"/>
        <charset val="186"/>
        <scheme val="minor"/>
      </rPr>
      <t>/P</t>
    </r>
    <r>
      <rPr>
        <vertAlign val="subscript"/>
        <sz val="11"/>
        <color theme="1"/>
        <rFont val="Aptos Narrow"/>
        <family val="2"/>
        <scheme val="minor"/>
      </rPr>
      <t>prop</t>
    </r>
  </si>
  <si>
    <r>
      <t>P</t>
    </r>
    <r>
      <rPr>
        <vertAlign val="subscript"/>
        <sz val="11"/>
        <color theme="1"/>
        <rFont val="Aptos Narrow"/>
        <family val="2"/>
        <scheme val="minor"/>
      </rPr>
      <t>wind</t>
    </r>
  </si>
  <si>
    <r>
      <t>P</t>
    </r>
    <r>
      <rPr>
        <vertAlign val="subscript"/>
        <sz val="11"/>
        <color theme="1"/>
        <rFont val="Aptos Narrow"/>
        <family val="2"/>
        <scheme val="minor"/>
      </rPr>
      <t>prop</t>
    </r>
  </si>
  <si>
    <r>
      <t>f</t>
    </r>
    <r>
      <rPr>
        <vertAlign val="subscript"/>
        <sz val="11"/>
        <color theme="1"/>
        <rFont val="Aptos Narrow"/>
        <family val="2"/>
        <scheme val="minor"/>
      </rPr>
      <t>wind</t>
    </r>
  </si>
  <si>
    <t>Abitabel</t>
  </si>
  <si>
    <r>
      <t>P</t>
    </r>
    <r>
      <rPr>
        <i/>
        <vertAlign val="subscript"/>
        <sz val="11"/>
        <color theme="0" tint="-0.499984740745262"/>
        <rFont val="Aptos Narrow"/>
        <family val="2"/>
        <scheme val="minor"/>
      </rPr>
      <t>wind</t>
    </r>
    <r>
      <rPr>
        <i/>
        <sz val="11"/>
        <color theme="0" tint="-0.499984740745262"/>
        <rFont val="Aptos Narrow"/>
        <family val="2"/>
        <scheme val="minor"/>
      </rPr>
      <t>/P</t>
    </r>
    <r>
      <rPr>
        <i/>
        <vertAlign val="subscript"/>
        <sz val="11"/>
        <color theme="0" tint="-0.499984740745262"/>
        <rFont val="Aptos Narrow"/>
        <family val="2"/>
        <scheme val="minor"/>
      </rPr>
      <t>prop</t>
    </r>
  </si>
  <si>
    <r>
      <t>f</t>
    </r>
    <r>
      <rPr>
        <i/>
        <vertAlign val="subscript"/>
        <sz val="11"/>
        <color theme="0" tint="-0.499984740745262"/>
        <rFont val="Aptos Narrow"/>
        <family val="2"/>
        <scheme val="minor"/>
      </rPr>
      <t>wind</t>
    </r>
  </si>
  <si>
    <t>lisada arvutuskäik väärtuse leidmiseks</t>
  </si>
  <si>
    <r>
      <t>Allikast paagini (</t>
    </r>
    <r>
      <rPr>
        <i/>
        <sz val="8.5"/>
        <color rgb="FF000000"/>
        <rFont val="Calibri"/>
        <family val="2"/>
      </rPr>
      <t>well- to-tank</t>
    </r>
    <r>
      <rPr>
        <sz val="8.5"/>
        <color rgb="FF000000"/>
        <rFont val="Calibri"/>
        <family val="2"/>
      </rPr>
      <t>, WtT)</t>
    </r>
  </si>
  <si>
    <r>
      <t>Paagist pardani (</t>
    </r>
    <r>
      <rPr>
        <i/>
        <sz val="8.5"/>
        <color rgb="FF000000"/>
        <rFont val="Calibri"/>
        <family val="2"/>
      </rPr>
      <t>tankto-wake</t>
    </r>
    <r>
      <rPr>
        <sz val="8.5"/>
        <color rgb="FF000000"/>
        <rFont val="Calibri"/>
        <family val="2"/>
      </rPr>
      <t>, TtW)</t>
    </r>
  </si>
  <si>
    <t>Kütuse-klass</t>
  </si>
  <si>
    <t>Tootmisviis</t>
  </si>
  <si>
    <t>Kütust tarbiva üksuse klass</t>
  </si>
  <si>
    <r>
      <t>C</t>
    </r>
    <r>
      <rPr>
        <sz val="4.5"/>
        <color rgb="FF000000"/>
        <rFont val="Times New Roman"/>
        <family val="1"/>
      </rPr>
      <t>f CH</t>
    </r>
    <r>
      <rPr>
        <sz val="5"/>
        <color rgb="FF000000"/>
        <rFont val="Calibri"/>
        <family val="2"/>
      </rPr>
      <t>4</t>
    </r>
  </si>
  <si>
    <r>
      <t>C</t>
    </r>
    <r>
      <rPr>
        <sz val="4.5"/>
        <color rgb="FF000000"/>
        <rFont val="Times New Roman"/>
        <family val="1"/>
      </rPr>
      <t>f N</t>
    </r>
    <r>
      <rPr>
        <sz val="5"/>
        <color rgb="FF000000"/>
        <rFont val="Calibri"/>
        <family val="2"/>
      </rPr>
      <t>2</t>
    </r>
    <r>
      <rPr>
        <sz val="4.5"/>
        <color rgb="FF000000"/>
        <rFont val="Times New Roman"/>
        <family val="1"/>
      </rPr>
      <t>O</t>
    </r>
  </si>
  <si>
    <r>
      <t>C</t>
    </r>
    <r>
      <rPr>
        <sz val="5"/>
        <color rgb="FF000000"/>
        <rFont val="Calibri"/>
        <family val="2"/>
      </rPr>
      <t>slip</t>
    </r>
  </si>
  <si>
    <t>% mootori tarbitud kütuse massist</t>
  </si>
  <si>
    <r>
      <t xml:space="preserve">MJ/ </t>
    </r>
    <r>
      <rPr>
        <sz val="6.5"/>
        <color rgb="FF000000"/>
        <rFont val="Times New Roman"/>
        <family val="1"/>
      </rPr>
      <t>g</t>
    </r>
  </si>
  <si>
    <r>
      <t>C</t>
    </r>
    <r>
      <rPr>
        <sz val="4.5"/>
        <color rgb="FF000000"/>
        <rFont val="Times New Roman"/>
        <family val="1"/>
      </rPr>
      <t>f CO</t>
    </r>
    <r>
      <rPr>
        <sz val="5"/>
        <color rgb="FF000000"/>
        <rFont val="Calibri"/>
        <family val="2"/>
      </rPr>
      <t xml:space="preserve">2 </t>
    </r>
  </si>
  <si>
    <r>
      <rPr>
        <sz val="6.5"/>
        <color rgb="FF000000"/>
        <rFont val="Times New Roman"/>
        <family val="1"/>
      </rPr>
      <t>gCH</t>
    </r>
    <r>
      <rPr>
        <vertAlign val="subscript"/>
        <sz val="10.5"/>
        <color rgb="FF000000"/>
        <rFont val="Calibri"/>
        <family val="2"/>
      </rPr>
      <t>4/gFuel</t>
    </r>
  </si>
  <si>
    <r>
      <rPr>
        <sz val="6.5"/>
        <color rgb="FF000000"/>
        <rFont val="Times New Roman"/>
        <family val="1"/>
      </rPr>
      <t>gN</t>
    </r>
    <r>
      <rPr>
        <vertAlign val="subscript"/>
        <sz val="10.5"/>
        <color rgb="FF000000"/>
        <rFont val="Calibri"/>
        <family val="2"/>
      </rPr>
      <t>2</t>
    </r>
    <r>
      <rPr>
        <sz val="6.5"/>
        <color rgb="FF000000"/>
        <rFont val="Times New Roman"/>
        <family val="1"/>
      </rPr>
      <t>O/gFuel</t>
    </r>
  </si>
  <si>
    <t>LCV (alumine kütteväärtus)</t>
  </si>
  <si>
    <r>
      <t xml:space="preserve">Biokütuse preemiategur </t>
    </r>
    <r>
      <rPr>
        <i/>
        <sz val="8"/>
        <color theme="0" tint="-0.499984740745262"/>
        <rFont val="Aptos Narrow"/>
        <family val="2"/>
        <scheme val="minor"/>
      </rPr>
      <t>- Taastuvenergia direktiivi nõuetele vastavatele bioloogilise päritoluga kütustele kehtib preemiategur 2, muul juhul preemiategur on 1</t>
    </r>
  </si>
  <si>
    <t xml:space="preserve">Allikas: </t>
  </si>
  <si>
    <t>GREENHOUSE GAS EMISSIONS IN ESTONIA 1990-2020 NATIONAL INVENTORY REPORT</t>
  </si>
  <si>
    <t>https://unfccc.int/sites/default/files/resource/est-2022-nir-12apr22_0.zip</t>
  </si>
  <si>
    <t>Tabelid: 3.9 lk 79-80</t>
  </si>
  <si>
    <r>
      <rPr>
        <b/>
        <sz val="11"/>
        <color theme="1"/>
        <rFont val="Aptos Narrow"/>
        <family val="2"/>
        <scheme val="minor"/>
      </rPr>
      <t>Table 3.9</t>
    </r>
    <r>
      <rPr>
        <sz val="11"/>
        <color theme="1"/>
        <rFont val="Aptos Narrow"/>
        <family val="2"/>
        <charset val="186"/>
        <scheme val="minor"/>
      </rPr>
      <t>. Carbon emission factors (CEF), oxidation factors and net calorific values (NCV) by fuels for 2020</t>
    </r>
  </si>
  <si>
    <t>KOKKU</t>
  </si>
  <si>
    <t>Laeva diislikütus</t>
  </si>
  <si>
    <t>(MDO)</t>
  </si>
  <si>
    <t>Laeva gaasiõli</t>
  </si>
  <si>
    <t>LBSI</t>
  </si>
  <si>
    <t>TBM</t>
  </si>
  <si>
    <t>N/A</t>
  </si>
  <si>
    <t>Kütuse- elemendid</t>
  </si>
  <si>
    <t>Sisepõlemismootor</t>
  </si>
  <si>
    <t>Metanool (maagaas)</t>
  </si>
  <si>
    <t>Viide:</t>
  </si>
  <si>
    <t>I Lisa, lk 42</t>
  </si>
  <si>
    <t>II Lisa, lk 43</t>
  </si>
  <si>
    <t>Biodiisel</t>
  </si>
  <si>
    <t>Kõik sisepõlemismootorid</t>
  </si>
  <si>
    <t>Biometanool</t>
  </si>
  <si>
    <t>e-diisel</t>
  </si>
  <si>
    <t>e-metanool</t>
  </si>
  <si>
    <t>e-LPG</t>
  </si>
  <si>
    <t>e-DME</t>
  </si>
  <si>
    <t>Muud</t>
  </si>
  <si>
    <t>Kaldaelektri toide (OPS)</t>
  </si>
  <si>
    <t>Hüdrogeenitud taimeõli (HVO)</t>
  </si>
  <si>
    <t>Kõik sisepõlemis- mootorid</t>
  </si>
  <si>
    <t>(HFO) ISO 8217 kvaliteedi-klassid RME kuni RMK</t>
  </si>
  <si>
    <t>(LFO) ISO 8217 kvaliteedi-klassid RMA kuni RMD</t>
  </si>
  <si>
    <t>(MGO) ISO 8217 kvaliteedi-klassid DMX kuni DMB</t>
  </si>
  <si>
    <t>Etanool (bio)</t>
  </si>
  <si>
    <t>Direktiivi (EL) 2018/2001 kohased tootmisviisid</t>
  </si>
  <si>
    <t>LNG otto (kahe- kütuseline, keskmine kiirus)</t>
  </si>
  <si>
    <t>LNG otto (kahekütuseline, aeglane kiirus)</t>
  </si>
  <si>
    <t>LNG diisel (kahe- kütuseline, aeglane kiirus)</t>
  </si>
  <si>
    <t>LBSI (lahjasegul töötavad sädesüütega gaasimootorid)</t>
  </si>
  <si>
    <t>LNG diisel (kahe- kütuseline)</t>
  </si>
  <si>
    <t>Muud direktiivi (EL) 2018/2001 kohased tootmisviisid</t>
  </si>
  <si>
    <t>Veeldatud maagaas (LNG) otto, keskmine kiirus</t>
  </si>
  <si>
    <t>Veeldatud maagaas (LNG) LBSI</t>
  </si>
  <si>
    <t>H2 (maagaas) Kütuselement</t>
  </si>
  <si>
    <t>NH3 (maagaas) Kütuselement</t>
  </si>
  <si>
    <t>Biovesinik Kütuselement</t>
  </si>
  <si>
    <t>e-vesinik Kütuselement</t>
  </si>
  <si>
    <t>e-NH3 Kütuselement</t>
  </si>
  <si>
    <t>Veeldatud naftagaas (LPG) butaan</t>
  </si>
  <si>
    <t>Veeldatud naftagaas (LPG) Propaan</t>
  </si>
  <si>
    <t>H2 (maagaas) Sisepõlemismootor</t>
  </si>
  <si>
    <t>NH3 (maagaas) Sisepõlemismootor</t>
  </si>
  <si>
    <t>e-vesinik Sisepõlemismootor</t>
  </si>
  <si>
    <t>e-NH3 Sisepõlemismootor</t>
  </si>
  <si>
    <t>Kütuse-elemendid</t>
  </si>
  <si>
    <t>transpordi- kütusena, (Veeldatud biogaas), Direktiivi (EL) 2018/2001 kohased tootmisviisid</t>
  </si>
  <si>
    <t>Veeldatud biometaan, LBSI</t>
  </si>
  <si>
    <t>Veeldatud biometaan, LNG diisel</t>
  </si>
  <si>
    <t>Veeldatud biometaan, LNG otto, aeglane kiirus</t>
  </si>
  <si>
    <t>Veeldatud biometaan, LNG otto, keskmine kiirus</t>
  </si>
  <si>
    <t>Biometanool, kontrollimata päritolu</t>
  </si>
  <si>
    <t>Biovesinik sisepõlemismootor</t>
  </si>
  <si>
    <t>e-kütused (RFNBO) - Muu kui bioloogilise päritoluga taastuvkütused</t>
  </si>
  <si>
    <t>Viide direktiivile (EL) 2018/2001</t>
  </si>
  <si>
    <t>e-vedelgaas LNG otto, keskmine kiirus</t>
  </si>
  <si>
    <t>e-vedelgaas LNG otto, aeglane kiirus</t>
  </si>
  <si>
    <t>e-vedelgaas LNG diisel</t>
  </si>
  <si>
    <t>e-vedelgaas LBSI</t>
  </si>
  <si>
    <r>
      <t>C</t>
    </r>
    <r>
      <rPr>
        <sz val="4.5"/>
        <color rgb="FF000000"/>
        <rFont val="Times New Roman"/>
        <family val="1"/>
      </rPr>
      <t>f TtW</t>
    </r>
  </si>
  <si>
    <r>
      <t xml:space="preserve"> g(CO</t>
    </r>
    <r>
      <rPr>
        <vertAlign val="subscript"/>
        <sz val="8"/>
        <color rgb="FF000000"/>
        <rFont val="Times New Roman"/>
        <family val="1"/>
      </rPr>
      <t>2e</t>
    </r>
    <r>
      <rPr>
        <sz val="8"/>
        <color rgb="FF000000"/>
        <rFont val="Times New Roman"/>
        <family val="1"/>
      </rPr>
      <t>)/g(Fuel)</t>
    </r>
  </si>
  <si>
    <r>
      <rPr>
        <sz val="6.5"/>
        <color rgb="FF000000"/>
        <rFont val="Times New Roman"/>
        <family val="1"/>
      </rPr>
      <t>gCO2eq</t>
    </r>
    <r>
      <rPr>
        <sz val="6.5"/>
        <color rgb="FF000000"/>
        <rFont val="Calibri"/>
        <family val="2"/>
      </rPr>
      <t>/MJ</t>
    </r>
  </si>
  <si>
    <r>
      <rPr>
        <sz val="6.5"/>
        <color rgb="FF000000"/>
        <rFont val="Times New Roman"/>
        <family val="1"/>
      </rPr>
      <t>gCO2</t>
    </r>
    <r>
      <rPr>
        <vertAlign val="subscript"/>
        <sz val="10.5"/>
        <color rgb="FF000000"/>
        <rFont val="Calibri"/>
        <family val="2"/>
      </rPr>
      <t>/gFuel</t>
    </r>
  </si>
  <si>
    <t xml:space="preserve">Biokütuse ja vedela biokütuse tootmisviis </t>
  </si>
  <si>
    <t xml:space="preserve">Kasvuhoonegaaside heitkoguste tüüpilised väärtused </t>
  </si>
  <si>
    <r>
      <t>(g CO</t>
    </r>
    <r>
      <rPr>
        <sz val="5"/>
        <color rgb="FF000000"/>
        <rFont val="Times New Roman"/>
        <family val="1"/>
      </rPr>
      <t xml:space="preserve"> </t>
    </r>
    <r>
      <rPr>
        <vertAlign val="subscript"/>
        <sz val="7.5"/>
        <color rgb="FF000000"/>
        <rFont val="Times New Roman"/>
        <family val="1"/>
      </rPr>
      <t>2</t>
    </r>
    <r>
      <rPr>
        <sz val="7.5"/>
        <color rgb="FF000000"/>
        <rFont val="Times New Roman"/>
        <family val="1"/>
      </rPr>
      <t xml:space="preserve"> eq/MJ) </t>
    </r>
  </si>
  <si>
    <t xml:space="preserve">Kasvuhoonegaaside heitkoguste vaikeväärtused </t>
  </si>
  <si>
    <r>
      <t>(g CO</t>
    </r>
    <r>
      <rPr>
        <sz val="5"/>
        <color rgb="FF000000"/>
        <rFont val="Times New Roman"/>
        <family val="1"/>
      </rPr>
      <t xml:space="preserve"> </t>
    </r>
    <r>
      <rPr>
        <vertAlign val="subscript"/>
        <sz val="7.5"/>
        <color rgb="FF000000"/>
        <rFont val="Times New Roman"/>
        <family val="1"/>
      </rPr>
      <t>2</t>
    </r>
    <r>
      <rPr>
        <sz val="7.5"/>
        <color rgb="FF000000"/>
        <rFont val="Times New Roman"/>
        <family val="1"/>
      </rPr>
      <t xml:space="preserve"> eq/MJ)</t>
    </r>
    <r>
      <rPr>
        <sz val="8.5"/>
        <color rgb="FF000000"/>
        <rFont val="Times New Roman"/>
        <family val="1"/>
      </rPr>
      <t xml:space="preserve"> </t>
    </r>
  </si>
  <si>
    <t xml:space="preserve">Suhkrupeedist toodetud etanool (jääkidest biogaasi ei toodetud, protsessikütus oli maagaas tavalises põletuskatlas) </t>
  </si>
  <si>
    <t xml:space="preserve">Suhkrupeedist toodetud etanool (jääkidest toodeti biogaasi, protsessikütus oli maagaas tavalises põletuskatlas) </t>
  </si>
  <si>
    <t xml:space="preserve">Suhkrupeedist toodetud etanool (jääkidest biogaasi ei toodetud, protsessikütus oli maagaas soojus- ja elektrienergia koostootmisseadmes (*)) </t>
  </si>
  <si>
    <t xml:space="preserve">Suhkrupeedist toodetud etanool (jääkidest toodeti biogaasi, protsessikütus oli maagaas soojus- ja elektrienergia koostootmisseadmes (*)) </t>
  </si>
  <si>
    <t xml:space="preserve">Suhkrupeedist toodetud etanool (jääkidest biogaasi ei toodetud, protsessikütus oli pruunsüsi soojus- ja elektrienergia koostootmisseadmes (*)) </t>
  </si>
  <si>
    <t xml:space="preserve">Suhkrupeedist toodetud etanool (jääkidest toodeti biogaasi, protsessikütus oli pruunsüsi soojus- ja elektrienergia koostootmisseadmes (*)) </t>
  </si>
  <si>
    <t xml:space="preserve">Maisist toodetud etanool (tootmisel tavalises põletuskatlas kasutati kütusena maagaasi) </t>
  </si>
  <si>
    <t xml:space="preserve">Teraviljast (maisist) toodetud etanool (tootmisel soojus- ja elektrienergia koostootmisseadmes (*) kasutati kütusena maagaasi) </t>
  </si>
  <si>
    <t xml:space="preserve">Teraviljast (maisist) toodetud etanool (protsessikütus oli pruunsüsi soojus- ja elektrienergia koostootmisseadmes (*)) </t>
  </si>
  <si>
    <t xml:space="preserve">Teraviljast (maisist) toodetud etanool (tootmisel kasutati kütusena metsatööstusjääke soojus- ja elektrienergia koostootmisseadmes (*)) </t>
  </si>
  <si>
    <t xml:space="preserve">Muust teraviljast kui mais toodetud etanool (tootmisel kasutati kütusena maagaasi tavalises põletuskatlas) </t>
  </si>
  <si>
    <t xml:space="preserve">Muust teraviljast kui mais toodetud etanool (tootmisel kasutati kütusena maagaasi soojus- ja elektrienergia koostootmisseadmes (*)) </t>
  </si>
  <si>
    <t xml:space="preserve">Muust teraviljast kui mais toodetud etanool (protsessikütus oli pruunsüsi soojus- ja elektrienergia koostootmisseadmes (*)) </t>
  </si>
  <si>
    <t xml:space="preserve">Muust teraviljast kui mais toodetud etanool (tootmisel kasutati kütusena metsatööstusjääke soojus- ja elektrienergia koostootmisseadmes (*)) </t>
  </si>
  <si>
    <t xml:space="preserve">Suhkruroost toodetud etanool </t>
  </si>
  <si>
    <t xml:space="preserve">ETBE taastuvatest energiaallikatest pärit osa </t>
  </si>
  <si>
    <t xml:space="preserve">On võrdne etanooli puhul kasutatud tootmisviisi omaga </t>
  </si>
  <si>
    <t xml:space="preserve">TAEE taastuvatest energiaallikatest pärit osa </t>
  </si>
  <si>
    <t xml:space="preserve">Rapsiseemnetest toodetud biodiislikütus </t>
  </si>
  <si>
    <t xml:space="preserve">Päevalilleseemnetest toodetud biodiislikütus </t>
  </si>
  <si>
    <t xml:space="preserve">Sojaubadest toodetud biodiislikütus </t>
  </si>
  <si>
    <t xml:space="preserve">Palmiõlist toodetud biodiislikütus (lahtine heitveetiik) </t>
  </si>
  <si>
    <t xml:space="preserve">Palmiõlist toodetud biodiislikütus (metaani kogumisega õlipressimisettevõttes) </t>
  </si>
  <si>
    <t xml:space="preserve">Rapsiseemnetest toodetud vesiniktöödeldud taimeõli </t>
  </si>
  <si>
    <t xml:space="preserve">Päevalilleseemnetest toodetud vesiniktöödeldud taimeõli </t>
  </si>
  <si>
    <t xml:space="preserve">Sojaubadest toodetud vesiniktöödeldud taimeõli </t>
  </si>
  <si>
    <t>Toiduvalmistamise õlijääkidest toodetud biodiisel</t>
  </si>
  <si>
    <t xml:space="preserve">Palmiõlist toodetud vesiniktöödeldud taimeõli (lahtine heitveetiik) </t>
  </si>
  <si>
    <t xml:space="preserve">Palmiõlist toodetud vesiniktöödeldud taimeõli (tootmisprotsess metaani kogumisega õlipressimisettevõttes) </t>
  </si>
  <si>
    <t xml:space="preserve">Vesiniktöödeldud õli toiduvalmistamisel kasutatud õli jääkidest </t>
  </si>
  <si>
    <t xml:space="preserve">Vesiniktöödeldud õli loomsete rasvade sulatamisest (**) </t>
  </si>
  <si>
    <t xml:space="preserve">Rapsiseemnetest toodetud puhas taimeõli </t>
  </si>
  <si>
    <t xml:space="preserve">Päevalilleseemnetest toodetud puhas taimeõli </t>
  </si>
  <si>
    <t xml:space="preserve">Sojaubadest toodetud puhas taimeõli </t>
  </si>
  <si>
    <t xml:space="preserve">Palmiõlist toodetud puhas taimeõli (lahtine heitveetiik) </t>
  </si>
  <si>
    <t xml:space="preserve">Palmiõlist toodetud puhas taimeõli (tootmisprotsess metaani kogumisega õlipressimisettevõttes) </t>
  </si>
  <si>
    <t xml:space="preserve">Puhas õli toiduvalmistamisel kasutatud õli jääkidest </t>
  </si>
  <si>
    <t>Loomse rasva sulatamisest toodetud biodiislikütus</t>
  </si>
  <si>
    <t xml:space="preserve">Energiametsast saadud puidust eraldi seisvas käitises toodetud Fischer-Tropschi diislikütus </t>
  </si>
  <si>
    <t xml:space="preserve">Puidujäätmetest eraldi seisvas käitises toodetud Fischer- Tropschi bensiin </t>
  </si>
  <si>
    <t xml:space="preserve">Puidujäätmetest  eraldi  seisvas  käitises  toodetud dimetüüleeter (DME) </t>
  </si>
  <si>
    <t xml:space="preserve">Energiametsast saadud puidust eraldi seisvas käitises toodetud dimetüüleeter (DME) </t>
  </si>
  <si>
    <t xml:space="preserve">Puidujäätmetest eraldi seisvas käitises toodetud metanool </t>
  </si>
  <si>
    <t xml:space="preserve">Energiametsast saadud puidust eraldi seisvas käitises toodetud metanool </t>
  </si>
  <si>
    <t xml:space="preserve">Tselluloositehase juures olevas musta leelise gaasistamise üksuses toodetud Fischer-Tropschi diislikütus </t>
  </si>
  <si>
    <t xml:space="preserve">Tselluloositehase juures olevas musta leelise gaasistamise üksuses toodetud Fischer-Tropschi bensiin </t>
  </si>
  <si>
    <t xml:space="preserve">Tselluloositehase juures olevas musta leelise gaasistamise üksuses toodetud dimetüüleeter (DME) </t>
  </si>
  <si>
    <t xml:space="preserve">Tselluloositehase juures olevas musta leelise gaasistamise üksuses toodetud metanool </t>
  </si>
  <si>
    <t xml:space="preserve">MTBE taastuvatest energiaallikatest pärit osa </t>
  </si>
  <si>
    <r>
      <t>On võrdne metanooli puhul kasutatud tootmisviisi omaga</t>
    </r>
    <r>
      <rPr>
        <b/>
        <sz val="9.5"/>
        <color rgb="FF000000"/>
        <rFont val="Times New Roman"/>
        <family val="1"/>
      </rPr>
      <t xml:space="preserve"> </t>
    </r>
  </si>
  <si>
    <r>
      <t>(g CO</t>
    </r>
    <r>
      <rPr>
        <b/>
        <sz val="5"/>
        <color rgb="FF000000"/>
        <rFont val="Times New Roman"/>
        <family val="1"/>
      </rPr>
      <t xml:space="preserve"> </t>
    </r>
    <r>
      <rPr>
        <b/>
        <vertAlign val="subscript"/>
        <sz val="7.5"/>
        <color rgb="FF000000"/>
        <rFont val="Times New Roman"/>
        <family val="1"/>
      </rPr>
      <t>2</t>
    </r>
    <r>
      <rPr>
        <b/>
        <sz val="7.5"/>
        <color rgb="FF000000"/>
        <rFont val="Times New Roman"/>
        <family val="1"/>
      </rPr>
      <t xml:space="preserve"> eq/MJ)</t>
    </r>
    <r>
      <rPr>
        <b/>
        <sz val="8.5"/>
        <color rgb="FF000000"/>
        <rFont val="Times New Roman"/>
        <family val="1"/>
      </rPr>
      <t xml:space="preserve"> </t>
    </r>
  </si>
  <si>
    <t>Taastuvenergia direktiivi väärtused (TtW)</t>
  </si>
  <si>
    <t>https://eur-lex.europa.eu/legal-content/ET/TXT/PDF/?uri=CELEX:02018L2001-20240716</t>
  </si>
  <si>
    <t>EUROOPA PARLAMENDI JA NÕUKOGU DIREKTIIV (EL) 2018/2001,
11. detsember 2018,
taastuvatest energiaallikatest toodetud energia kasutamise edendamise kohta</t>
  </si>
  <si>
    <t>Lähtuvalt juhendist, kui päritolu pole teada, kasutada antud energiaaliika kõige heiterikkama tootmisviisi erihete väärtusied</t>
  </si>
  <si>
    <t>bioetanooli vaikeväärtus</t>
  </si>
  <si>
    <t>biodiisli vaikeväärtus</t>
  </si>
  <si>
    <t>taimeõli vaikeväärtus</t>
  </si>
  <si>
    <t>õlijääkidest biodiisel</t>
  </si>
  <si>
    <t>Metanooli vaikeväärtus</t>
  </si>
  <si>
    <t>Nisuõlgedest toodetud etanool</t>
  </si>
  <si>
    <t>DME vaikeväärtus</t>
  </si>
  <si>
    <t>CO2eq WtT</t>
  </si>
  <si>
    <t xml:space="preserve">Kütus </t>
  </si>
  <si>
    <t xml:space="preserve">Energiasisaldus massiühiku kohta </t>
  </si>
  <si>
    <t xml:space="preserve">(alumine kütteväärtus, MJ/kg) </t>
  </si>
  <si>
    <t xml:space="preserve">Energiasisaldus ruumalaühiku kohta </t>
  </si>
  <si>
    <r>
      <t>(alumine kütteväärtus, MJ/l)</t>
    </r>
    <r>
      <rPr>
        <sz val="8.5"/>
        <color rgb="FF000000"/>
        <rFont val="Times New Roman"/>
        <family val="1"/>
      </rPr>
      <t xml:space="preserve"> </t>
    </r>
  </si>
  <si>
    <t xml:space="preserve">BIOMASSIST JA/VÕI BIOMASSI TÖÖTLEMISEGA SAADUD KÜTUSED </t>
  </si>
  <si>
    <t xml:space="preserve">Biopropaan </t>
  </si>
  <si>
    <t xml:space="preserve">Puhas taimeõli (pressimise, ekstraheerimise või muu samalaadse meetodiga õlitaimedest toodetud töötlemata või rafineeritud, kuid keemiliselt modifitseerimata õli) </t>
  </si>
  <si>
    <t xml:space="preserve">Biodiislikütus – rasvhapete metüülestrid (biomassist saadud õlist valmistatud metüülestrid) </t>
  </si>
  <si>
    <t xml:space="preserve">Biodiislikütus – rasvhapete etüülestrid (biomassist saadud õlist valmistatud etüülestrid) </t>
  </si>
  <si>
    <t xml:space="preserve">Biogaas, mida saab puhastada maagaasi puhtuseni </t>
  </si>
  <si>
    <t xml:space="preserve">— </t>
  </si>
  <si>
    <t xml:space="preserve">Vesiniktöödeldud (termokeemiliselt vesinikuga töödeldud) õli, mis on saadud biomassist ja mida kasutatakse diislikütuse asendamiseks </t>
  </si>
  <si>
    <t xml:space="preserve">Vesiniktöödeldud (termokeemiliselt vesinikuga töödeldud) õli, mis on saadud biomassist ja mida kasutatakse bensiini asendamiseks </t>
  </si>
  <si>
    <t xml:space="preserve">Vesiniktöödeldud (termokeemiliselt vesinikuga töödeldud) õli, mis on saadud biomassist ja mida kasutatakse reaktiivkütuse asendamiseks </t>
  </si>
  <si>
    <t xml:space="preserve">Vesiniktöödeldud (termokeemiliselt vesinikuga töödeldud) õli, mis on saadud biomassist ja mida kasutatakse veeldatud naftagaasi asendamiseks </t>
  </si>
  <si>
    <t xml:space="preserve">Koostöödeldud (koos fossiilkütusega rafineeritud) õli, mis on saadud biomassist või pürolüüsitud biomassist ja mida kasutatakse diislikütuse asendamiseks </t>
  </si>
  <si>
    <t xml:space="preserve">Koostöödeldud (koos fossiilkütusega rafineeritud) õli, mis on saadud biomassist või pürolüüsitud biomassist ja mida kasutatakse bensiini asendamiseks </t>
  </si>
  <si>
    <t xml:space="preserve">Koostöödeldud (koos fossiilkütusega rafineeritud) õli, mis on saadud biomassist või pürolüüsitud biomassist ja mida kasutatakse reaktiivkütuse asendamiseks </t>
  </si>
  <si>
    <t xml:space="preserve">Koostöödeldud (koos fossiilkütusega rafineeritud) õli, mis on saadud biomassist või pürolüüsitud biomassist ja mida kasutatakse veeldatud naftagaasi asendamiseks </t>
  </si>
  <si>
    <t xml:space="preserve">TAASTUVKÜTUSED, MIDA SAAB TOOTA MITMESUGUSTEST TAASTUVATEST ENERGIAALLIKATEST, </t>
  </si>
  <si>
    <t xml:space="preserve">SEALHULGAS BIOMASSIST </t>
  </si>
  <si>
    <t xml:space="preserve">Metanool taastuvatest energiaallikatest </t>
  </si>
  <si>
    <t xml:space="preserve">Etanool taastuvatest energiaallikatest </t>
  </si>
  <si>
    <t xml:space="preserve">Propanool taastuvatest energiaallikatest </t>
  </si>
  <si>
    <t xml:space="preserve">Butanool taastuvatest energiaallikatest </t>
  </si>
  <si>
    <t xml:space="preserve">Fischeri-Tropschi diislikütus (sünteetiline süsivesinik või sünteetiliste süsivesinike segu, mida kasutatakse diislikütuse asendamiseks) </t>
  </si>
  <si>
    <t xml:space="preserve">Fischeri-Tropschi bensiin (biomassist toodetud sünteetiline süsivesinik või sünteetiliste süsivesinike segu, mida kasutatakse bensiini asendamiseks) </t>
  </si>
  <si>
    <t xml:space="preserve">Fischeri-Tropschi reaktiivkütus (biomassist toodetud sünteetiline süsivesinik või sünteetiliste süsivesinike segu, mida kasutatakse reaktiivkütuse asendamiseks) </t>
  </si>
  <si>
    <t xml:space="preserve">Fischeri-Tropschi veeldatud naftagaas (sünteetiline süsivesinik või sünteetiliste süsivesinike segu, mida kasutatakse veeldatud naftagaasi asendamiseks) </t>
  </si>
  <si>
    <t xml:space="preserve">DME (dimetüüleeter) </t>
  </si>
  <si>
    <t xml:space="preserve">Vesinik taastuvatest energiaallikatest </t>
  </si>
  <si>
    <t xml:space="preserve">– </t>
  </si>
  <si>
    <t xml:space="preserve">ETBE (etanooli põhjal toodetud etüül-tert-butüüleeter) </t>
  </si>
  <si>
    <t xml:space="preserve">36 (sellest 33 % taastuvatest energiaallikatest) </t>
  </si>
  <si>
    <t xml:space="preserve">27 (sellest 33 % taastuvatest energiaallikatest) </t>
  </si>
  <si>
    <t xml:space="preserve">MTBE (metanooli põhjal toodetud metüül-tert-butüüleeter) </t>
  </si>
  <si>
    <t xml:space="preserve">35 (sellest 22 % taastuvatest energiaallikatest) </t>
  </si>
  <si>
    <t xml:space="preserve">26 (sellest 22 % taastuvatest energiaallikatest) </t>
  </si>
  <si>
    <t xml:space="preserve">TAEE (etanooli põhjal toodetud tert-amüül-etüüleeter) </t>
  </si>
  <si>
    <t xml:space="preserve">38 (sellest 29 % taastuvatest energiaallikatest) </t>
  </si>
  <si>
    <t xml:space="preserve">29 (sellest 29 % taastuvatest energiaallikatest) </t>
  </si>
  <si>
    <t xml:space="preserve">TAME (metanooli põhjal toodetud tert-amüül-metüüleeter) </t>
  </si>
  <si>
    <t xml:space="preserve">36 (sellest 18 % taastuvatest energiaallikatest) </t>
  </si>
  <si>
    <t xml:space="preserve">28 (sellest 18 % taastuvatest energiaallikatest) </t>
  </si>
  <si>
    <t xml:space="preserve">THxEE (etanooli põhjal toodetud tert-heksüül-etüüleeter) </t>
  </si>
  <si>
    <t xml:space="preserve">38 (sellest 25 % taastuvatest energiaallikatest) </t>
  </si>
  <si>
    <t xml:space="preserve">30 (sellest 25 % taastuvatest energiaallikatest) </t>
  </si>
  <si>
    <t xml:space="preserve">THxME  (metanooli  põhjal  toodetud  tert-heksüül- metüüleeter) </t>
  </si>
  <si>
    <t xml:space="preserve">38 (sellest 14 % taastuvatest energiaallikatest) </t>
  </si>
  <si>
    <t xml:space="preserve">30 (sellest 14 % taastuvatest energiaallikatest) </t>
  </si>
  <si>
    <t xml:space="preserve">TAASTUMATUD KÜTUSED </t>
  </si>
  <si>
    <t xml:space="preserve">Bensiin </t>
  </si>
  <si>
    <t xml:space="preserve">Diislikütus </t>
  </si>
  <si>
    <t xml:space="preserve">Reaktiivkütus </t>
  </si>
  <si>
    <t xml:space="preserve">Vesinik taastumatutest energiaallikatest </t>
  </si>
  <si>
    <r>
      <t>–</t>
    </r>
    <r>
      <rPr>
        <b/>
        <sz val="9.5"/>
        <color rgb="FF000000"/>
        <rFont val="Times New Roman"/>
        <family val="1"/>
      </rPr>
      <t xml:space="preserve"> </t>
    </r>
  </si>
  <si>
    <t>III Lisa</t>
  </si>
  <si>
    <r>
      <t>V lisa, osa D, Kasvatamine, töötlemine, transport ja jaotamine kokku</t>
    </r>
    <r>
      <rPr>
        <sz val="7.5"/>
        <color rgb="FF000000"/>
        <rFont val="Times New Roman"/>
        <family val="1"/>
      </rPr>
      <t xml:space="preserve"> - E</t>
    </r>
  </si>
  <si>
    <t>III lisa väärtused on toodud siin tölehel alates lahtrist E150 ja I150. E on kindlaks määratud vastavalt meetoditele, mis on sätestatud direktiivi (EL) 2018/2001 V lisa C osas ja VI lisa B osas. Tabelid E väärtustega on toodud käesolevalt töölehel alates lahtrist A151</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</si>
  <si>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A152</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</si>
  <si>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A153</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</si>
  <si>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A154</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</si>
  <si>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A155</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</si>
  <si>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A156</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</si>
  <si>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A157</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</si>
  <si>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A158</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</si>
  <si>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A159</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</si>
  <si>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A160</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</si>
  <si>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A162</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</si>
  <si>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A163</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</si>
  <si>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A164</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</si>
  <si>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A165</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</si>
  <si>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A166</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</si>
  <si>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A167</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</si>
  <si>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A168</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</si>
  <si>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A169</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</si>
  <si>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A170</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</si>
  <si>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A171</t>
  </si>
  <si>
    <t>III lisa väärtused on toodud siin tölehel alates lahtrist E150 ja I150. E on kindlaks määratud vastavalt meetoditele, mis on sätestatud direktiivi (EL) 2018/2001 V lisa C osas ja VI lisa B osas. Tabelid E väärtustega on toodud käesolevalt töölehel alates lahtrist A172</t>
  </si>
  <si>
    <t xml:space="preserve">Biometaani tootmise süsteem </t>
  </si>
  <si>
    <t xml:space="preserve">Tehnoloogiline variant </t>
  </si>
  <si>
    <t xml:space="preserve">Biometaan lägast </t>
  </si>
  <si>
    <r>
      <t>Lahtine kääritamissaadus, heitgaase ei põletata (</t>
    </r>
    <r>
      <rPr>
        <vertAlign val="superscript"/>
        <sz val="8.5"/>
        <color rgb="FF000000"/>
        <rFont val="Times New Roman"/>
        <family val="1"/>
      </rPr>
      <t>1</t>
    </r>
    <r>
      <rPr>
        <vertAlign val="subscript"/>
        <sz val="8.5"/>
        <color rgb="FF000000"/>
        <rFont val="Times New Roman"/>
        <family val="1"/>
      </rPr>
      <t xml:space="preserve"> </t>
    </r>
    <r>
      <rPr>
        <vertAlign val="superscript"/>
        <sz val="13"/>
        <color rgb="FF000000"/>
        <rFont val="Times New Roman"/>
        <family val="1"/>
      </rPr>
      <t xml:space="preserve"> </t>
    </r>
    <r>
      <rPr>
        <sz val="8.5"/>
        <color rgb="FF000000"/>
        <rFont val="Times New Roman"/>
        <family val="1"/>
      </rPr>
      <t xml:space="preserve">) </t>
    </r>
  </si>
  <si>
    <t xml:space="preserve">– 20 </t>
  </si>
  <si>
    <r>
      <t>Lahtine kääritamissaadus, heitgaasid põletatakse (</t>
    </r>
    <r>
      <rPr>
        <vertAlign val="superscript"/>
        <sz val="8.5"/>
        <color rgb="FF000000"/>
        <rFont val="Times New Roman"/>
        <family val="1"/>
      </rPr>
      <t>2</t>
    </r>
    <r>
      <rPr>
        <vertAlign val="subscript"/>
        <sz val="8.5"/>
        <color rgb="FF000000"/>
        <rFont val="Times New Roman"/>
        <family val="1"/>
      </rPr>
      <t xml:space="preserve"> </t>
    </r>
    <r>
      <rPr>
        <vertAlign val="superscript"/>
        <sz val="13"/>
        <color rgb="FF000000"/>
        <rFont val="Times New Roman"/>
        <family val="1"/>
      </rPr>
      <t xml:space="preserve"> </t>
    </r>
    <r>
      <rPr>
        <sz val="8.5"/>
        <color rgb="FF000000"/>
        <rFont val="Times New Roman"/>
        <family val="1"/>
      </rPr>
      <t xml:space="preserve">) </t>
    </r>
  </si>
  <si>
    <t xml:space="preserve">– 35 </t>
  </si>
  <si>
    <t xml:space="preserve">Suletud kääritamissaadus, heitgaase ei põletata </t>
  </si>
  <si>
    <t xml:space="preserve">– 88 </t>
  </si>
  <si>
    <t xml:space="preserve">– 79 </t>
  </si>
  <si>
    <t xml:space="preserve">Suletud kääritamissaadus, heitgaasid põletatakse </t>
  </si>
  <si>
    <t xml:space="preserve">– 103 </t>
  </si>
  <si>
    <t xml:space="preserve">– 100 </t>
  </si>
  <si>
    <t xml:space="preserve">Biometaan biojäätmetest </t>
  </si>
  <si>
    <t xml:space="preserve">Lahtine kääritamissaadus, heitgaase ei põletata </t>
  </si>
  <si>
    <t xml:space="preserve">Lahtine kääritamissaadus, heitgaasid põletatakse </t>
  </si>
  <si>
    <r>
      <t>(1</t>
    </r>
    <r>
      <rPr>
        <sz val="7"/>
        <color rgb="FF000000"/>
        <rFont val="Times New Roman"/>
        <family val="1"/>
      </rPr>
      <t xml:space="preserve">                </t>
    </r>
    <r>
      <rPr>
        <sz val="7.5"/>
        <color rgb="FF000000"/>
        <rFont val="Times New Roman"/>
        <family val="1"/>
      </rPr>
      <t>) See kategooria hõlmab järgmisi biogaasi biometaaniks väärindamise tehnoloogia kategooriaid: rõhu muutmisega adsorptsioon (Pressure Swing Adsorption, PSA), rõhu all olev veega skraber (Pressure Water Scrubbing, PWS), membraanid, krüogeenika ja füüsiline orgaanikaga skraber (Organic Physical Scrubbing, OPS). See hõlmab heidet 0,03 MJ CH</t>
    </r>
    <r>
      <rPr>
        <sz val="5"/>
        <color rgb="FF000000"/>
        <rFont val="Times New Roman"/>
        <family val="1"/>
      </rPr>
      <t xml:space="preserve"> </t>
    </r>
    <r>
      <rPr>
        <vertAlign val="subscript"/>
        <sz val="7.5"/>
        <color rgb="FF000000"/>
        <rFont val="Times New Roman"/>
        <family val="1"/>
      </rPr>
      <t>4</t>
    </r>
    <r>
      <rPr>
        <sz val="7.5"/>
        <color rgb="FF000000"/>
        <rFont val="Times New Roman"/>
        <family val="1"/>
      </rPr>
      <t xml:space="preserve"> / MJ biometaani, millega arvestatakse metaani heidet heitgaasides. </t>
    </r>
  </si>
  <si>
    <r>
      <t>(2</t>
    </r>
    <r>
      <rPr>
        <sz val="7"/>
        <color rgb="FF000000"/>
        <rFont val="Times New Roman"/>
        <family val="1"/>
      </rPr>
      <t xml:space="preserve">                </t>
    </r>
    <r>
      <rPr>
        <sz val="7.5"/>
        <color rgb="FF000000"/>
        <rFont val="Times New Roman"/>
        <family val="1"/>
      </rPr>
      <t>) See kategooria hõlmab järgmisi biogaasi biometaaniks väärindamise tehnoloogia kategooriaid: rõhu all olev veega skraber (PWS), kui vesi võetakse taas kasutusse, rõhu muutmisega adsorptsioon (PSA), keemiline skraberpuhastus, füüsiline orgaanikaga skraber (OPS), membraanid ja krüogeenika. Metaaniheidet selle kategooria puhul ei arvestata (heitgaasidesse sattuv metaan põletatakse).</t>
    </r>
    <r>
      <rPr>
        <sz val="8.5"/>
        <color rgb="FF000000"/>
        <rFont val="Times New Roman"/>
        <family val="1"/>
      </rPr>
      <t xml:space="preserve"> </t>
    </r>
  </si>
  <si>
    <r>
      <t>Tüüpilised ja vaikeväärtused biogaasi tootmisel elektrienergia tootmiseks läga ja maisi segudest: Kasvuhoonegaaside heitkoguste väärtused segus olevate osakaalude kohta on esitatud värske massi põhjal</t>
    </r>
    <r>
      <rPr>
        <sz val="7.5"/>
        <color rgb="FF000000"/>
        <rFont val="Times New Roman"/>
        <family val="1"/>
      </rPr>
      <t xml:space="preserve"> </t>
    </r>
  </si>
  <si>
    <t>Biometaani vaikeväärtus</t>
  </si>
  <si>
    <t>Lisa VI, D osa</t>
  </si>
  <si>
    <t>Kui lahtrisse on märgitud kas TBM või N/A, kasutatakse samas veerus märgitud asjaomase kütuseklassi kõrgeimat vaikeväärtust, välja arvatud juhul, kui väärtus on näidatud kooskõlas artikliga 10.</t>
  </si>
  <si>
    <t>Kui konkreetse kütuseklassi puhul on sama veeru kõigi lahtrite puhul märgitud kas TBM või N/A, kasutatakse kõige vähem soositud fossiilkütuste tootmise viisi vaikeväärtust, välja arvatud juhul, kui väärtus on näidatud kooskõlas artikliga 10. Seda reeglit ei kohaldata veeru 9 puhul, kus TBM või N/A viitab sellele, et kütusetarbija väärtused ei ole kättesaadavad. Kui vaikeväärtust ei ole, tuleks kasutada sertifitseeritud väärtust kooskõlas artikli 10 lõikega 5.</t>
  </si>
  <si>
    <r>
      <t>Maksimaalne kütuseklassi C</t>
    </r>
    <r>
      <rPr>
        <sz val="4.5"/>
        <color rgb="FF000000"/>
        <rFont val="Times New Roman"/>
        <family val="1"/>
      </rPr>
      <t>f CH</t>
    </r>
    <r>
      <rPr>
        <sz val="5"/>
        <color rgb="FF000000"/>
        <rFont val="Calibri"/>
        <family val="2"/>
      </rPr>
      <t>4</t>
    </r>
  </si>
  <si>
    <r>
      <t>Maksimaalne kütuseklassi C</t>
    </r>
    <r>
      <rPr>
        <sz val="4.5"/>
        <color rgb="FF000000"/>
        <rFont val="Times New Roman"/>
        <family val="1"/>
      </rPr>
      <t>f N</t>
    </r>
    <r>
      <rPr>
        <sz val="5"/>
        <color rgb="FF000000"/>
        <rFont val="Calibri"/>
        <family val="2"/>
      </rPr>
      <t>2</t>
    </r>
    <r>
      <rPr>
        <sz val="4.5"/>
        <color rgb="FF000000"/>
        <rFont val="Times New Roman"/>
        <family val="1"/>
      </rPr>
      <t>O</t>
    </r>
  </si>
  <si>
    <r>
      <t>Maksimaalne kütuseklassi C</t>
    </r>
    <r>
      <rPr>
        <sz val="4.5"/>
        <color rgb="FF000000"/>
        <rFont val="Times New Roman"/>
        <family val="1"/>
      </rPr>
      <t>Slip</t>
    </r>
  </si>
  <si>
    <r>
      <t>Paagist pardani summeeritud (</t>
    </r>
    <r>
      <rPr>
        <i/>
        <sz val="8.5"/>
        <color rgb="FF000000"/>
        <rFont val="Calibri"/>
        <family val="2"/>
      </rPr>
      <t>tank to-wake</t>
    </r>
    <r>
      <rPr>
        <sz val="8.5"/>
        <color rgb="FF000000"/>
        <rFont val="Calibri"/>
        <family val="2"/>
      </rPr>
      <t>, TtW)</t>
    </r>
  </si>
  <si>
    <t>Elektrienergia (taastuvelekter lokaalne)</t>
  </si>
  <si>
    <t>Elektrienergia (taastuvelekter võrgust)</t>
  </si>
  <si>
    <t>Elektrienergia (taastumatu elekter võrgust)</t>
  </si>
  <si>
    <t>(väljalasketoru) CO2 otseheiteta kütus</t>
  </si>
  <si>
    <t>I Lisa lk 39</t>
  </si>
  <si>
    <t>ei</t>
  </si>
  <si>
    <t>jah</t>
  </si>
  <si>
    <r>
      <t>Tulp 4: Käesoleva määruse kohaldamisel võetakse valemi 1 lugejas oleva liikme Σ</t>
    </r>
    <r>
      <rPr>
        <vertAlign val="superscript"/>
        <sz val="9.5"/>
        <color rgb="FF000000"/>
        <rFont val="Calibri"/>
        <family val="2"/>
      </rPr>
      <t>c</t>
    </r>
    <r>
      <rPr>
        <vertAlign val="subscript"/>
        <sz val="9.5"/>
        <color rgb="FF000000"/>
        <rFont val="Calibri"/>
        <family val="2"/>
      </rPr>
      <t>k</t>
    </r>
    <r>
      <rPr>
        <sz val="9.5"/>
        <color rgb="FF000000"/>
        <rFont val="Calibri"/>
        <family val="2"/>
      </rPr>
      <t>E</t>
    </r>
    <r>
      <rPr>
        <vertAlign val="subscript"/>
        <sz val="9.5"/>
        <color rgb="FF000000"/>
        <rFont val="Calibri"/>
        <family val="2"/>
      </rPr>
      <t>k</t>
    </r>
    <r>
      <rPr>
        <sz val="9.5"/>
        <color rgb="FF000000"/>
        <rFont val="Calibri"/>
        <family val="2"/>
      </rPr>
      <t>×CO</t>
    </r>
    <r>
      <rPr>
        <vertAlign val="subscript"/>
        <sz val="9.5"/>
        <color rgb="FF000000"/>
        <rFont val="Calibri"/>
        <family val="2"/>
      </rPr>
      <t>2eqelectricity,k</t>
    </r>
    <r>
      <rPr>
        <sz val="9.5"/>
        <color rgb="FF000000"/>
        <rFont val="Calibri"/>
        <family val="2"/>
      </rPr>
      <t xml:space="preserve"> väärtuseks null. Originaaltabelis oli antud lahtritesse märgitud "ELi ENERGIAALLIKATE JAOTUS", kuid antud arvutuskäiude läbiviimiseks asendati see väärtusega "0". Tulp 3 - Võrrand 1 arvutuskäigu lihtsustamiseks on algne tekst "-" asendatud väärtusega "1"</t>
    </r>
  </si>
  <si>
    <t>Biokütus</t>
  </si>
  <si>
    <t>=</t>
  </si>
  <si>
    <r>
      <t>tCO</t>
    </r>
    <r>
      <rPr>
        <b/>
        <vertAlign val="subscript"/>
        <sz val="11"/>
        <rFont val="Aptos Narrow"/>
        <family val="2"/>
        <scheme val="minor"/>
      </rPr>
      <t>2e</t>
    </r>
    <r>
      <rPr>
        <b/>
        <sz val="11"/>
        <rFont val="Aptos Narrow"/>
        <family val="2"/>
        <scheme val="minor"/>
      </rPr>
      <t>/a</t>
    </r>
  </si>
  <si>
    <t>Arvutuskäiguks vajalikud juhised on toodud MEPC.328(76) regulatsioonis 24</t>
  </si>
  <si>
    <t>MEPC 76-15-Add.1 - Report Of The Marine...eventy-Sixth Session (Secretariat).pdf</t>
  </si>
  <si>
    <t>4) Reisijate- ja kaubaveoks, sadamatoiminguteks või abitegevuseks kasutatav mere- ja rannikulaev, mille Rahvusvahelise Mereorganisatsiooni energiatõhususe indeksi väärtus on 10 % väiksem kui 1. aprillil 2022 kohaldatavad energiatõhususe indeksi nõuded ning laev on suuteline sõitma (väljalasketoru) CO2 otseheiteta kütuste või taastuvatest energiaallikatest saadud kütuste jõul</t>
  </si>
  <si>
    <t>Puistlastilaev (Bulk carrier)</t>
  </si>
  <si>
    <t>Mitmeotstarbeline puistlastilaev (Combination carrier)</t>
  </si>
  <si>
    <t>Kruiisilaev, millel pole tavapärst mootorit</t>
  </si>
  <si>
    <t>LPG tanker (Gas carrier)</t>
  </si>
  <si>
    <t>Üldkaubalaev (General cargo ship)</t>
  </si>
  <si>
    <t>LNG tanker (LNG carrier)</t>
  </si>
  <si>
    <t>Ro-ro/ro-pax laev (Ro-ro cargo ship)</t>
  </si>
  <si>
    <t>Ro-ro Sõidukite transpordilaev (Ro-ro cargo vehicle carrier)</t>
  </si>
  <si>
    <t>Ro-ro/ro-pax reisijate laev (Ro-ro passenger ship)</t>
  </si>
  <si>
    <t>Tanker</t>
  </si>
  <si>
    <t>Fossiilkütused</t>
  </si>
  <si>
    <t>Selgitus: vastavuskriteeriumi valikuid on kirjeldatud ja kontrollitud töölehe lõpus</t>
  </si>
  <si>
    <t>Toetuse osakaal</t>
  </si>
  <si>
    <t>Siia lehele lisada vajadusel tuuleenergia preemiateguri arvutuskäik koos lähteanmeid tõendavate viidetega. Vajadusel lisada taotlusele viitete andmeid tõendav dokumentasioon.</t>
  </si>
  <si>
    <t>Vastavuskriteerium, tulemusnäitaja</t>
  </si>
  <si>
    <t>Taotletakse ainult vähese tähtusega abi</t>
  </si>
  <si>
    <t>Laeva mootorid ja kütused vastavad määruse heiteta sõiduki nõuetele</t>
  </si>
  <si>
    <t>Vastavuskriteerium v.a vähese tähtsusega abina toetatavad tegevused (TAT §  7 lõige 1 p 2), väljundnäitaja</t>
  </si>
  <si>
    <t>Vastavuskriteerium v.a vähese tähtsusega abina toetatavad tegevused (TAT § 7 lõige 1 p 2), väljundnäitaja</t>
  </si>
  <si>
    <t>Laeva mootorid ja kütused vastavad määruse keskkonnasõbraliku sõiduki nõuetele</t>
  </si>
  <si>
    <r>
      <rPr>
        <b/>
        <sz val="11"/>
        <color theme="1"/>
        <rFont val="Aptos Narrow"/>
        <family val="2"/>
        <scheme val="minor"/>
      </rPr>
      <t xml:space="preserve">Veerus 4 </t>
    </r>
    <r>
      <rPr>
        <sz val="11"/>
        <color theme="1"/>
        <rFont val="Aptos Narrow"/>
        <family val="2"/>
        <charset val="186"/>
        <scheme val="minor"/>
      </rPr>
      <t>on esitatud WtT KHG heitekoefitsendid ühikutes gCO2eq/MJ.
a)
Vedelate biokütuste puhul arvutatakse vaikeväärtused, kasutades direktiivi (EL) 2018/2001 V lisa C osas kõigi vedelate biokütuste, välja arvatud veeldatud biogaasi, ja VI lisa B osas veeldatud biogaasi (bio-LNG) puhul sätestatud metoodika kohaselt kindlaks määratud E väärtusi ning võttes aluseks vaikeväärtused, mis on seotud konkreetse transpordikütusena kasutatava biokütuse ja selle tootmisviisiga, mis on sätestatud kõnealuse direktiivi V lisa D ja E osas kõigi vedelate biokütuste, välja arvatud veeldatud biogaasi kohta, ja VI lisa D osas veeldatud biogaasi kohta. E väärtusi tuleb korrigeerida, lahutades asjaomasest väärtusest veerus 6 (cf_CO2) ja veerus 3 (LCV) esitatud väärtuste suhtarvu. Seda nõutakse määruse kohaselt, mis eraldab WtT ja TtW arvutused, et vältida heitkoguste topeltarvestust;
b)
RFNBO ja muude punktis a osutamata kütuste puhul, mida tuleb arvesse võtta määruse artikli 4 lõikes 1 osutatud eesmärgil, arvutatakse vaikeväärtused kas direktiivi (EL) 2018/2001 artikli 28 lõikes 5 osutatud delegeeritud õigusaktis sätestatud metoodika alusel, või kui see on kohaldatav, sarnase metoodika alusel, kui see on kindlaks määratud taastuvatest energiaallikatest toodetud gaaside ja maagaasi ning vesiniku siseturge käsitlevas liidu õigusaktis, vastavalt käesoleva määruse artikli 10 lõigetele 1 ja 2.
L 234/94 ET Euroopa Liidu Teataja 22.9.2023</t>
    </r>
  </si>
  <si>
    <t>kWh/a - MJa</t>
  </si>
  <si>
    <t>kWh/a</t>
  </si>
  <si>
    <t>Ilma CO2 heitmeta laev</t>
  </si>
  <si>
    <t>Projekti nimi</t>
  </si>
  <si>
    <t>Selgitus - sellesse lahtrisse sisestada EEDI arvutuste käigus saadud lõppväärtus. Arvutuskäik esitada käesoleval lehel koos viidetega andmete algallikatele. Vajadusel lisada taotlusele tõendav dokumentatsioon.</t>
  </si>
  <si>
    <t>Lahter 3: Kõigi biokütuste korral on LCV aluseks võetud Direktiivi (EL) 2018/2001 III lisas sätestatud väärtus. Lahter 4: Kõigi biokütuste korral on arvutuskäik: E – CfCO2/LCV. Antud lahtris on praegu toodud mitteteadaoleva päritoluga tootmisviisi jaoks kasutatavad vaikeväärtused. Kütuse tootja on kohustatud koos kütuse saatelehega esitama ka kütuse KHG heidet sisaldava info, mida saab kasutada antud vaikeväärtuste asemel. Lahter 6: Bioloogilist päritolu ja e-kütustel ei arvestata Cf arvutusel CO2 heidet.</t>
  </si>
  <si>
    <t>Seade:  …</t>
  </si>
  <si>
    <t xml:space="preserve">Kütuse/energia tüüp </t>
  </si>
  <si>
    <t>Kogus aastas</t>
  </si>
  <si>
    <t>kollased väljad on info sisestamiseks</t>
  </si>
  <si>
    <t>oranzid väljad on rippmenüüst valiku tegemiseks</t>
  </si>
  <si>
    <t>Kogus energia-ühikutes (MWh)/a</t>
  </si>
  <si>
    <t>Kütteväärtus, alumine (MJ/g)</t>
  </si>
  <si>
    <t>Eriheitetegur TtW - paagist pardani, laevas kütuse kasutamisel toimuv KHG heide  (g CO2ekv/g kütus)</t>
  </si>
  <si>
    <t>Eriheitetegur WtT - allikast paagini, kütuse tootmise ja tarne KHG heide  (g CO2ekv/g kütus)</t>
  </si>
  <si>
    <t>kollased väljad on taotlejale info sisestamiseks</t>
  </si>
  <si>
    <t>oranzid väljad on taotlejale rippmenüüst valiku tegemiseks</t>
  </si>
  <si>
    <t>Projekti üldandmed</t>
  </si>
  <si>
    <t>valged väljad on sisustatud valemitega, mille tulemusel arvutatakse näitajad automaatselt välja</t>
  </si>
  <si>
    <t>Kütuse osakaal, %</t>
  </si>
  <si>
    <t>Veeldatud maagaas (LNG) otto, aeglane kiirus</t>
  </si>
  <si>
    <t>Veeldatud maagaas (LNG) diisel, aeglane kiirus</t>
  </si>
  <si>
    <t>Kaldaelekter</t>
  </si>
  <si>
    <t>Koondtulemused</t>
  </si>
  <si>
    <r>
      <t xml:space="preserve">Ühik </t>
    </r>
    <r>
      <rPr>
        <sz val="11"/>
        <rFont val="Aptos Narrow"/>
        <family val="2"/>
        <scheme val="minor"/>
      </rPr>
      <t>(elekter MWh, kütused tonnides)</t>
    </r>
  </si>
  <si>
    <t>Kütuse valik</t>
  </si>
  <si>
    <t>Laeva KHG heide enne renoveerimist</t>
  </si>
  <si>
    <r>
      <rPr>
        <b/>
        <sz val="11"/>
        <color theme="1"/>
        <rFont val="Aptos Narrow"/>
        <family val="2"/>
        <scheme val="minor"/>
      </rPr>
      <t xml:space="preserve"> fwind - Tuuleenergial põhineva veojõu preemiategur</t>
    </r>
    <r>
      <rPr>
        <sz val="11"/>
        <color theme="1"/>
        <rFont val="Aptos Narrow"/>
        <family val="2"/>
        <charset val="186"/>
        <scheme val="minor"/>
      </rPr>
      <t xml:space="preserve"> - lisada preemiateguri saamiseks kasutatud andmed ja arvutuskäik Töölehlele Preemiategur lähutvalt Määruse  EL 2023/1085 Lisa 1 toodud võrranditest</t>
    </r>
  </si>
  <si>
    <r>
      <rPr>
        <b/>
        <sz val="11"/>
        <color theme="1"/>
        <rFont val="Aptos Narrow"/>
        <family val="2"/>
        <scheme val="minor"/>
      </rPr>
      <t>KHG heitemahukus</t>
    </r>
    <r>
      <rPr>
        <sz val="11"/>
        <color theme="1"/>
        <rFont val="Aptos Narrow"/>
        <family val="2"/>
        <charset val="186"/>
        <scheme val="minor"/>
      </rPr>
      <t xml:space="preserve"> = fwind*(WtT+TtW )</t>
    </r>
  </si>
  <si>
    <t>gCO2e/MJ</t>
  </si>
  <si>
    <r>
      <rPr>
        <b/>
        <sz val="11"/>
        <color theme="1"/>
        <rFont val="Aptos Narrow"/>
        <family val="2"/>
        <scheme val="minor"/>
      </rPr>
      <t>Laeva KHG heitemahukuse võrdlusväärtus</t>
    </r>
    <r>
      <rPr>
        <sz val="11"/>
        <color theme="1"/>
        <rFont val="Aptos Narrow"/>
        <family val="2"/>
        <charset val="186"/>
        <scheme val="minor"/>
      </rPr>
      <t xml:space="preserve"> - maksimaalne lubatud väärtus vastavalt määrusele (EL) 2023/1805 alates 2025. aastast)</t>
    </r>
  </si>
  <si>
    <t>Lähteandmed lubatud heitkoguse masimaalse väärtuse kohta:</t>
  </si>
  <si>
    <t xml:space="preserve">EUROOPA PARLAMENDI JA NÕUKOGU MÄÄRUS (EL) 2023/1805, 13. september 2023, mis käsitleb taastuvkütuste ja vähese süsinikuheitega kütuste kasutamist meretranspordis ning millega muudetakse direktiivi 2009/16/EÜ </t>
  </si>
  <si>
    <t>artikkel 4 lõige 2</t>
  </si>
  <si>
    <t>2. Lõikes 1 osutatud piirmäära arvutamiseks vähendatakse kontrollväärtust 91,16 grammi CO2 ekvivalenti MJ kohta järgmise protsendi võrra: — 2 % alates 1. jaanuarist 2025;</t>
  </si>
  <si>
    <t>Seega lubatav maksimaalne heide laeva kohta on praegu</t>
  </si>
  <si>
    <r>
      <rPr>
        <b/>
        <u/>
        <sz val="11"/>
        <rFont val="Aptos Narrow"/>
        <family val="2"/>
        <scheme val="minor"/>
      </rPr>
      <t>Sisesta esimesele kahele reale elektri tarbimine ja järgmistele kütuste tarbimine seadmete kaupa</t>
    </r>
    <r>
      <rPr>
        <b/>
        <sz val="11"/>
        <rFont val="Aptos Narrow"/>
        <family val="2"/>
        <scheme val="minor"/>
      </rPr>
      <t xml:space="preserve"> </t>
    </r>
    <r>
      <rPr>
        <sz val="11"/>
        <rFont val="Aptos Narrow"/>
        <family val="2"/>
        <scheme val="minor"/>
      </rPr>
      <t>(nt põhimootor(id), lisamootor(id), katel, kütuseelement, jäätmepõletusseade)</t>
    </r>
  </si>
  <si>
    <r>
      <t>g CO</t>
    </r>
    <r>
      <rPr>
        <i/>
        <vertAlign val="subscript"/>
        <sz val="11"/>
        <rFont val="Cambria"/>
        <family val="1"/>
      </rPr>
      <t xml:space="preserve">2 </t>
    </r>
    <r>
      <rPr>
        <i/>
        <sz val="11"/>
        <rFont val="Cambria"/>
        <family val="1"/>
      </rPr>
      <t>ekv/MJ</t>
    </r>
  </si>
  <si>
    <t>taastuvast energiaallikast pärit kütuste osakaal energiatarbest (MWh/a)</t>
  </si>
  <si>
    <t>Laeva KHG heide pärast renoveerimist</t>
  </si>
  <si>
    <t>KHG heide, WtT - allikast paagini, tCO2e/a</t>
  </si>
  <si>
    <t>KHG heide, WtT - TtW - paagist pardani, tCO2e/a</t>
  </si>
  <si>
    <t>KHG heide kokku (WtT - TtW - paagist pardani, tCO2e/a</t>
  </si>
  <si>
    <t>(väljalasketoru) CO2 otseheiteta kütuste osakaal energiatarbest, %</t>
  </si>
  <si>
    <t>Tabel 2. Energiakulu pärast renoveerimist.</t>
  </si>
  <si>
    <t>Tabel 1. Energiakulu enne renoveerimist.</t>
  </si>
  <si>
    <t>Laeval toodetud heitevaba taastuvelekter (täpsusta seade: … )</t>
  </si>
  <si>
    <t>Andmed peale renoveerimist toimuva kütuste kasutuse kohta esitatakse vastavalt 1) planeeritavate seadmete tootja poolt esitatud spetsifikatsioonidele ja 2) laeva senisele keskmisele aastasele kilometraazile, mille arvutuskäigu võib esitada eelmise aasta või, põhjendatud juhtumitel, kuni viie eelneva aasta keskmise kilometraazi alusel arvutatuna koos tõendava dokumentasiooniga.</t>
  </si>
  <si>
    <t>Tabel 2a. Laeva KHG heitemahukus pärast renoveerimist.</t>
  </si>
  <si>
    <t>Tabel 1a. Laeva KHG heitemahukus enne renoveerimist.</t>
  </si>
  <si>
    <t>Viide 1</t>
  </si>
  <si>
    <t>Viide 2</t>
  </si>
  <si>
    <t xml:space="preserve">Vastavuskriteeriumid lähtuvalt määruses toodud viitele grupierandi määruse tingimustele </t>
  </si>
  <si>
    <t>https://eur-lex.europa.eu/legal-content/ET/TXT/PDF/?uri=CELEX:02014R0651-20230701</t>
  </si>
  <si>
    <t>Vastavuskriteerium 1</t>
  </si>
  <si>
    <t>Vastavus 1</t>
  </si>
  <si>
    <t>Vastavuskriteerium 2</t>
  </si>
  <si>
    <t>Vastavus 2</t>
  </si>
  <si>
    <t>Vastavus kokku</t>
  </si>
  <si>
    <t>Loogikatesti väärtus</t>
  </si>
  <si>
    <t>1) Reisijate- ja kaubaveoks, sadamatoiminguteks või abitegevuseks kasutatav mere- ja rannikulaev, millel on hübriid- või kaherežiimiline mootor ja mille energiast pärineb vähemalt 25 % (väljalasketoru) CO2 otseheiteta kütustest</t>
  </si>
  <si>
    <t>Laeval on hübriidmootor või kaherežiimiline mootor</t>
  </si>
  <si>
    <t xml:space="preserve">laeva energiast pärineb vähemalt 25 % (väljalasketoru) CO2 otseheiteta kütustest </t>
  </si>
  <si>
    <t>2) Reisijate- ja kaubaveoks, sadamatoiminguteks või abitegevuseks kasutatav mere- ja rannikulaev, millel on hübriid- või kaherežiimiline mootor ja mis kasutab merel ja sadamates tavatingimustes käitamiseks elektrivõrgu energiat</t>
  </si>
  <si>
    <t>laev kasutab merel ja sadamates tavatingimustes käitamiseks elektrivõrgu energiat (eelduseks on pandud et vähemalt pool aastas kasutatavast energiast on elekter)</t>
  </si>
  <si>
    <t>3) Kaubaveoks ette nähtud mere- ja rannikulaev, mida kasutatakse üksnes selliste ranniku- ja lähimereveoteenuste osutamiseks, mille eesmärk on võimaldada praegu maismaad mööda veetava kauba ümbersuunamist merele, ning mille (väljalasketoru) CO2 otseheide on energiatõhususe indeksi alusel arvutatuna 50 % väiksem kui määruse (EL) 2019/1242 artikli 11 kohaselt raskeveokite (veokite allrühm 5-LH) puhul kindlaks määratud keskmine CO2 võrdlusheite väärtus</t>
  </si>
  <si>
    <t>(väljalasketoru) CO2 otseheide on energiatõhususe indeksi alusel arvutatuna väiksem kui 26,15 g/t_km</t>
  </si>
  <si>
    <t>Laeva Rahvusvahelise Mereorganisatsiooni energiatõhususe indeksi väärtus on 10 % väiksem kui 1. aprillil 2022 kohaldatavad energiatõhususe indeksi nõuded</t>
  </si>
  <si>
    <t>laev on suuteline sõitma (väljalasketoru) CO2 otseheiteta kütuste või taastuvatest energiaallikatest saadud kütuste jõul</t>
  </si>
  <si>
    <t>5) Mere- ja rannikulaev reisijate- või kaubaveoks, sadamatoiminguteks või abitegevuseks, millel puudub (väljalasketoru) CO2 otseheide</t>
  </si>
  <si>
    <t>Laeval puudub (väljalasketoru) CO2 otseheide</t>
  </si>
  <si>
    <t>Renoveeritava laeva üldandmed</t>
  </si>
  <si>
    <t>Renoveeritava laeva tüüp</t>
  </si>
  <si>
    <t>Laev vastab peale renoveerimist nõudele</t>
  </si>
  <si>
    <t>Renoveeritud laeva määratlus vastavalt GBER art 1 p. 102 f), d)</t>
  </si>
  <si>
    <t>EUR-Lex - 02014R0651-20230701 - EUR-Lex</t>
  </si>
  <si>
    <t>Renoveeritud laeva mootori tüüp</t>
  </si>
  <si>
    <t>kaherežiimiline mootor</t>
  </si>
  <si>
    <t>Valikvastuse "mootor maismaatranspordi ümbersuunamiseks merele" tuleb taotlusega koos esitada eel-lepe veoste tellijaga koos vastava transpordi koguste (t) ja veoste alg-ning lõpp-punktide (km) infoga projektile järgneva viie aasta jooksul. Järelaruannetega tuleb taotlejal vastavaid vedusid ka tõendada. Tegevus on abikõlblik, kui laeva kasutuseesmärgiks on ainult maismaatranspordi ümbersuunamiseks merele tehtavad veosed, laeva hoolduse ja ülevaatuse, talvesadamasse viimise või ohuolukordadega seotud sõidud.</t>
  </si>
  <si>
    <t>Energiakulu ja kasvuhoonegaaside heite (KHG) koondtulemused arvutatakse välja automaatselt pärast alljärgnevate energiakulu tabelite täitmist. 
Täita tuleb tabel 1, 1a, 2, 2a, 3 (kui asjakohane).</t>
  </si>
  <si>
    <t>Laeva mootorite valikvastuse peale renoveerimist</t>
  </si>
  <si>
    <t>mootor masimaatranspordi ümbersuunamiseks merele</t>
  </si>
  <si>
    <t>hübriidmootor</t>
  </si>
  <si>
    <t>elektrimootor</t>
  </si>
  <si>
    <t xml:space="preserve"> osaliselt CO2 heitevaba kütust kasutav või osaliselt taastuvatest energiaallikatest saadud kütust kasutav mootor</t>
  </si>
  <si>
    <t xml:space="preserve"> CO2 heitevaba kütust kasutav mootor</t>
  </si>
  <si>
    <t>Valikvastus keskkonnasõbralik või heiteta sõiduk</t>
  </si>
  <si>
    <t xml:space="preserve">Valikvastus </t>
  </si>
  <si>
    <t>keskkonnasõbralik sõiduk</t>
  </si>
  <si>
    <t>Selgitused ja valikvastuste loendid</t>
  </si>
  <si>
    <t>Grupierandi määrus</t>
  </si>
  <si>
    <t>„keskkonnasõbralik sõiduk” –</t>
  </si>
  <si>
    <r>
      <t xml:space="preserve">d) merelaevade puhul: — reisijate- ja kaubaveoks, sadamatoiminguteks või abitegevuseks kasutatav mere- ja rannikulaev, millel </t>
    </r>
    <r>
      <rPr>
        <b/>
        <i/>
        <u/>
        <sz val="11"/>
        <color theme="0" tint="-0.499984740745262"/>
        <rFont val="Aptos Narrow"/>
        <family val="2"/>
        <scheme val="minor"/>
      </rPr>
      <t>i)</t>
    </r>
    <r>
      <rPr>
        <i/>
        <sz val="11"/>
        <color theme="0" tint="-0.499984740745262"/>
        <rFont val="Aptos Narrow"/>
        <family val="2"/>
        <scheme val="minor"/>
      </rPr>
      <t xml:space="preserve"> on </t>
    </r>
    <r>
      <rPr>
        <b/>
        <i/>
        <sz val="11"/>
        <color theme="0" tint="-0.499984740745262"/>
        <rFont val="Aptos Narrow"/>
        <family val="2"/>
        <scheme val="minor"/>
      </rPr>
      <t xml:space="preserve">hübriid- või kaherežiimiline mootor ja </t>
    </r>
    <r>
      <rPr>
        <i/>
        <sz val="11"/>
        <color theme="0" tint="-0.499984740745262"/>
        <rFont val="Aptos Narrow"/>
        <family val="2"/>
        <scheme val="minor"/>
      </rPr>
      <t xml:space="preserve">mille energiast pärineb vähemalt </t>
    </r>
    <r>
      <rPr>
        <b/>
        <i/>
        <sz val="11"/>
        <color theme="0" tint="-0.499984740745262"/>
        <rFont val="Aptos Narrow"/>
        <family val="2"/>
        <scheme val="minor"/>
      </rPr>
      <t>25 % (väljalasketoru) CO2 otseheiteta kütustest</t>
    </r>
    <r>
      <rPr>
        <i/>
        <sz val="11"/>
        <color theme="0" tint="-0.499984740745262"/>
        <rFont val="Aptos Narrow"/>
        <family val="2"/>
        <scheme val="minor"/>
      </rPr>
      <t xml:space="preserve"> </t>
    </r>
    <r>
      <rPr>
        <b/>
        <i/>
        <sz val="11"/>
        <color theme="0" tint="-0.499984740745262"/>
        <rFont val="Aptos Narrow"/>
        <family val="2"/>
        <scheme val="minor"/>
      </rPr>
      <t xml:space="preserve">või </t>
    </r>
    <r>
      <rPr>
        <i/>
        <sz val="11"/>
        <color theme="0" tint="-0.499984740745262"/>
        <rFont val="Aptos Narrow"/>
        <family val="2"/>
        <scheme val="minor"/>
      </rPr>
      <t>mis k</t>
    </r>
    <r>
      <rPr>
        <b/>
        <i/>
        <sz val="11"/>
        <color theme="0" tint="-0.499984740745262"/>
        <rFont val="Aptos Narrow"/>
        <family val="2"/>
        <scheme val="minor"/>
      </rPr>
      <t xml:space="preserve">asutab merel ja sadamates tavatingimustes käitamiseks elektrivõrgu energiat </t>
    </r>
    <r>
      <rPr>
        <b/>
        <i/>
        <u/>
        <sz val="11"/>
        <color theme="0" tint="-0.499984740745262"/>
        <rFont val="Aptos Narrow"/>
        <family val="2"/>
        <scheme val="minor"/>
      </rPr>
      <t>või</t>
    </r>
    <r>
      <rPr>
        <i/>
        <sz val="11"/>
        <color theme="0" tint="-0.499984740745262"/>
        <rFont val="Aptos Narrow"/>
        <family val="2"/>
        <scheme val="minor"/>
      </rPr>
      <t xml:space="preserve"> </t>
    </r>
    <r>
      <rPr>
        <b/>
        <i/>
        <u/>
        <sz val="11"/>
        <color theme="0" tint="-0.499984740745262"/>
        <rFont val="Aptos Narrow"/>
        <family val="2"/>
        <scheme val="minor"/>
      </rPr>
      <t>ii)</t>
    </r>
    <r>
      <rPr>
        <i/>
        <sz val="11"/>
        <color theme="0" tint="-0.499984740745262"/>
        <rFont val="Aptos Narrow"/>
        <family val="2"/>
        <scheme val="minor"/>
      </rPr>
      <t xml:space="preserve"> mille</t>
    </r>
    <r>
      <rPr>
        <b/>
        <i/>
        <sz val="11"/>
        <color theme="0" tint="-0.499984740745262"/>
        <rFont val="Aptos Narrow"/>
        <family val="2"/>
        <scheme val="minor"/>
      </rPr>
      <t xml:space="preserve"> Rahvusvahelise Mereorganisatsiooni energiatõhususe indeksi väärtus on 10 % väiksem kui 1. aprillil 2022 kohaldatavad energiatõhususe indeksi nõuded</t>
    </r>
    <r>
      <rPr>
        <i/>
        <sz val="11"/>
        <color theme="0" tint="-0.499984740745262"/>
        <rFont val="Aptos Narrow"/>
        <family val="2"/>
        <scheme val="minor"/>
      </rPr>
      <t xml:space="preserve"> ning </t>
    </r>
    <r>
      <rPr>
        <b/>
        <i/>
        <sz val="11"/>
        <color theme="0" tint="-0.499984740745262"/>
        <rFont val="Aptos Narrow"/>
        <family val="2"/>
        <scheme val="minor"/>
      </rPr>
      <t>laev on suuteline sõitma (väljalasketoru) CO2 otseheiteta kütuste või taastuvatest energiaallikatest saadud kütuste jõul</t>
    </r>
    <r>
      <rPr>
        <i/>
        <sz val="11"/>
        <color theme="0" tint="-0.499984740745262"/>
        <rFont val="Aptos Narrow"/>
        <family val="2"/>
        <scheme val="minor"/>
      </rPr>
      <t>;</t>
    </r>
  </si>
  <si>
    <t>— kaubaveoks ette nähtud mere- ja rannikulaev, mida kasutatakse üksnes selliste ranniku- ja lähimereveoteenuste osutamiseks, mille eesmärk on võimaldada praegu maismaad mööda veetava kauba ümbersuunamist merele, ning mille (väljalasketoru) CO2 otseheide on energiatõhususe indeksi alusel arvutatuna 50 % väiksem kui määruse (EL) 2019/1242 artikli 11 kohaselt raskeveokite (veokite allrühm 5-LH) puhul kindlaks määratud keskmine CO2 võrdlusheite väärtus;</t>
  </si>
  <si>
    <t>„heiteta sõiduk” –</t>
  </si>
  <si>
    <t>e) merelaevade puhul: mere- ja rannikulaev reisijate- või kaubaveoks, sadamatoiminguteks või abitegevuseks, millel puudub (väljalasketoru) CO2 otseheide;</t>
  </si>
  <si>
    <t>Ei kohaldu</t>
  </si>
  <si>
    <t>Laev on mõeldud üksnes maismaatranspordi ümbersuunamiseks merele</t>
  </si>
  <si>
    <t>Tabel 3. Täiendada kollaseid välju juhul, kui taotletakse toetust laeva renoveerimiseks keskkonnasõbraliku või heiteta sõiduki nõuetele vastavalt määrusele.</t>
  </si>
  <si>
    <t>Jah</t>
  </si>
  <si>
    <t>Laeva energiatõhususe indeks EEXI enne ümberehitust</t>
  </si>
  <si>
    <t>Laeva energiatõhususe indeks EEXI pärast ümberehitust</t>
  </si>
  <si>
    <t>EEXI muutus</t>
  </si>
  <si>
    <t>Link juhendile</t>
  </si>
  <si>
    <t>EUROOPA PARLAMENDI JA NÕUKOGU MÄÄRUS (EL) 2023/1805, 13. september 2023, mis käsitleb taastuvkütuste ja vähese süsinikuheitega kütuste kasutamist meretranspordis ning millega muudetakse direktiivi 2009/16/EÜ</t>
  </si>
  <si>
    <r>
      <t>Kütuse teisendus m</t>
    </r>
    <r>
      <rPr>
        <b/>
        <u/>
        <vertAlign val="superscript"/>
        <sz val="11"/>
        <color theme="1"/>
        <rFont val="Aptos Narrow"/>
        <family val="2"/>
        <scheme val="minor"/>
      </rPr>
      <t>3</t>
    </r>
    <r>
      <rPr>
        <b/>
        <u/>
        <sz val="11"/>
        <color theme="1"/>
        <rFont val="Aptos Narrow"/>
        <family val="2"/>
        <scheme val="minor"/>
      </rPr>
      <t xml:space="preserve"> &gt; t</t>
    </r>
  </si>
  <si>
    <r>
      <rPr>
        <b/>
        <sz val="11"/>
        <color theme="1"/>
        <rFont val="Aptos Narrow"/>
        <family val="2"/>
        <scheme val="minor"/>
      </rPr>
      <t>Energiakulu enne laeva renoveerimist</t>
    </r>
    <r>
      <rPr>
        <sz val="11"/>
        <color theme="1"/>
        <rFont val="Aptos Narrow"/>
        <family val="2"/>
        <charset val="186"/>
        <scheme val="minor"/>
      </rPr>
      <t xml:space="preserve">
Sisestada laeva aastane kütuste- ja elektrikulu.  Kütust tarbivateks üksusteks on peamootor(id), abimootor(id), katlad, kütuseelemendid ja jäätmepõletusseadmed. Sisestada nii laeval toodetud heitevaba taastuvelektri tarbimine kui ka kaldaelektri tarbimine.
Kütuste kogused sisestada tonnides (vajadusel teha ümberarvutused näidates sisestamisel nii algühikuid kui teisenduskäiku algühikutest tonnidesse (valemi sees). Elektri kogused sisestada MWh-des.
Laeval toodetud heitevaba taastuvelektri heite saab lugeda nulliks, kui elekter on toodetud päikesest või tuulest. Kaldaelekter - elekter, mis on laevale tarnitud ja ei ole laeval toodetud. Näiteks laeva akude laadimiseks või sadamas viibimise ajal laeva elektrivarustuse tagamiseks kasutatav elekter.
Andmed enne renoveerimist toimunud kütuste kasutuse kohta esitatakse Määruse EL 2023/1085 Art 8 alusel koosatud seirekava alusel vastavalt vormile KOMISJONI RAKENDUSMÄÄRUS (EL) 2024/2031, seirekava ja dokument selle tõendamise kohta kolmanda osapoole poolt listakse taotluse dokumentide juurde. Kui seirekava ei hõlma täit eelnevat kalendriaastat , siis esitada täiendavad tõendusandmed</t>
    </r>
    <r>
      <rPr>
        <sz val="11"/>
        <color rgb="FFC00000"/>
        <rFont val="Aptos Narrow"/>
        <family val="2"/>
        <scheme val="minor"/>
      </rPr>
      <t xml:space="preserve"> </t>
    </r>
    <r>
      <rPr>
        <sz val="11"/>
        <color theme="1"/>
        <rFont val="Aptos Narrow"/>
        <family val="2"/>
        <scheme val="minor"/>
      </rPr>
      <t>eelneval aastal</t>
    </r>
    <r>
      <rPr>
        <sz val="11"/>
        <color theme="0" tint="-0.499984740745262"/>
        <rFont val="Aptos Narrow"/>
        <family val="2"/>
        <scheme val="minor"/>
      </rPr>
      <t xml:space="preserve"> </t>
    </r>
    <r>
      <rPr>
        <sz val="11"/>
        <color theme="1"/>
        <rFont val="Aptos Narrow"/>
        <family val="2"/>
        <scheme val="minor"/>
      </rPr>
      <t>kasutatud kütuste koguste osas v</t>
    </r>
    <r>
      <rPr>
        <sz val="11"/>
        <color theme="1"/>
        <rFont val="Aptos Narrow"/>
        <family val="2"/>
        <charset val="186"/>
        <scheme val="minor"/>
      </rPr>
      <t xml:space="preserve">õi põhjendatud juhtudel ka kuni viieaastase perioodi kütuste kasutuse keskmiste koguste kohta.
Määruse EL 2023/1085 Art 6 l 5 f) alusel on pardal olevad kaldaelektri toitega ühendamise seadmed sertifitseeritud kooskõlas määruse (EL) 2023/1804 II lisas sätestatud merelaevade kaldaelektri toitega ühendamise süsteemide tehnilistele kirjeldustega.
</t>
    </r>
  </si>
  <si>
    <t>Laeva KHG heite muutus pärast renoveerimist</t>
  </si>
  <si>
    <t>Tulemusnäitaja (negatiivse väärtusega tulemus näitab KHG heite vähenemist, positiivse väärtusega tulemus KHG suurenemist pärast laeva renoveerimist)</t>
  </si>
  <si>
    <t>Selgitus: palume lisada taotluse juurde EEXI arvutamise asjakohane dokumentatsioon</t>
  </si>
  <si>
    <r>
      <t>gCO</t>
    </r>
    <r>
      <rPr>
        <vertAlign val="subscript"/>
        <sz val="11"/>
        <color theme="1"/>
        <rFont val="Aptos Narrow"/>
        <family val="2"/>
        <scheme val="minor"/>
      </rPr>
      <t>2</t>
    </r>
    <r>
      <rPr>
        <sz val="11"/>
        <color theme="1"/>
        <rFont val="Aptos Narrow"/>
        <family val="2"/>
        <charset val="186"/>
        <scheme val="minor"/>
      </rPr>
      <t>/tonn-meremiil</t>
    </r>
  </si>
  <si>
    <t>kirjeldav tekst</t>
  </si>
  <si>
    <t>Selgitus: Kuna abikõlbulikud kõrvaltegevused nagu näiteks kergema mööblieseme soetamine ei pruugi saavutada toetuse tulemusnäitajate sihtväärtuseid (10% EEXI indeksi vähenemine ja KHG vähenemine kolme aasta KHG heitkoguse muutuse summana), ei ole kõrvaltegevuste mõju arvutamine efektiivne. Palume lühidalt selgitada tekstiliselt, milline on projekti kõrvaltegevuste mõju laeva kasvuhoonegaaside heitkoguste vähendamisele ning kuidas need toetavad projekti eesmärgi saavutamist.</t>
  </si>
  <si>
    <r>
      <t>Selgitus: Tegelik KHG heitkoguse muutus arvutatakse iga renoveerimisjärgse aasta kohta ja summeeritakse järelaruandes. Taotlemise ajal kasutatakse käesolevas arvutustabelis prognoosnäitajaid, et hinnata ligikaudset kütusekasutust ja KHG heite muutust aastas. Toetuse saaja esitab järelaruande kolm aastat pärast lõppmakse saamist kõigi aastate kaupa. Igal aasta kohta kasutatakse arvutamiseks käesolevat Exceli vormi, kus laeva energiakulu enne renoveerimist on muutumatu väärtus (sama, mis taotluses), kuid  uuendatakse vastava aasta tegelikke renoveerimisjärgseid kütustetüüpide ja koguste andmeid.</t>
    </r>
    <r>
      <rPr>
        <b/>
        <i/>
        <sz val="11"/>
        <color theme="0" tint="-0.499984740745262"/>
        <rFont val="Aptos Narrow"/>
        <family val="2"/>
        <scheme val="minor"/>
      </rPr>
      <t xml:space="preserve"> Kolme aasta summaarne KHG heitkoguse muutus peab olema netonegatiivne väärtus ehk kolme aasta jooksul peab toimuma KHG heitkoguste summaarne vähenemine võrreldes esialgse olukorraga.</t>
    </r>
  </si>
  <si>
    <t>Kõrvaltegevuste panus laeva KHG heitkoguste vähendamisse, kui toetust antakse kõrvaltegevustele</t>
  </si>
  <si>
    <r>
      <rPr>
        <b/>
        <sz val="11"/>
        <color theme="1"/>
        <rFont val="Aptos Narrow"/>
        <family val="2"/>
        <scheme val="minor"/>
      </rPr>
      <t>Energiakulu pärast laeva renoveerimist</t>
    </r>
    <r>
      <rPr>
        <sz val="11"/>
        <color theme="1"/>
        <rFont val="Aptos Narrow"/>
        <family val="2"/>
        <charset val="186"/>
        <scheme val="minor"/>
      </rPr>
      <t xml:space="preserve">
Sisestada laeva aastane kütuste- ja elektrikulu pärast renoveerimist. Kütuste kogused sisestada tonnides (vajadusel teha ümberarvutused näidates sisestamisel nii algühikuid kui teisenduskäiku algühikutest tonnidesse (valemi sees). Elektri kogused sisestada MWh-des.
Andmed pärast renoveerimist toimuva kütuste kasutuse kohta esitatakse vastavalt 1) planeeritavate seadmete tootja poolt esitatud spetsifikatsioonidele ja 2) laeva senisele keskmisele aastasele kilometraazile, mille arvutuskäigu võib esitada eelmise aasta kohta või, põhjendatud juhtumitel, kuni viie eelneva aasta keskmise kilometraazi alusel arvutatuna koos tõendava dokumentatsiooniga.
Kütust tarbivateks üksusteks on peamootor(id), abimootor(id), katlad, kütuseelemendid ja jäätmepõletusseadmed. Sisestada nii laeval toodetud heitevaba taastuvelektri tarbimine kui ka kaldaelektri tarbimine.
Laeval toodetud heitevaba taastuvelektri heite saab lugeda nulliks, kui elekter on toodetud päikesest või tuulest. Kaldaelekter - elekter, mis on laevale tarnitud ja ei ole laeval toodetud. Näiteks laeva akude laadimiseks või sadamas viibimise ajal laeva elektrivarustuse tagamiseks kasutatav elekter.
Määruse EL 2023/1085 Art 6 l 5 f) alusel on pardal olevad kaldaelektri toitega ühendamise seadmed sertifitseeritud kooskõlas määruse (EL) 2023/1804 II lisas sätestatud merelaevade kaldaelektri toitega ühendamise süsteemide tehnilistele kirjeldustega.
</t>
    </r>
  </si>
  <si>
    <r>
      <t xml:space="preserve">Selgitus: Juhtumi 3) tõendamiseks lisada taotlusele tõendusmaterjal renoveeritud laeva </t>
    </r>
    <r>
      <rPr>
        <sz val="11"/>
        <color theme="1"/>
        <rFont val="Aptos Narrow"/>
        <family val="2"/>
        <scheme val="minor"/>
      </rPr>
      <t>EEDI ar</t>
    </r>
    <r>
      <rPr>
        <sz val="11"/>
        <rFont val="Aptos Narrow"/>
        <family val="2"/>
        <scheme val="minor"/>
      </rPr>
      <t>vutuskäigu kohta lähtuvalt viidatud metoodikale (viide 1). Lisada taotlusele tõend arvutuskäigu verifitseerimise kohta lähtuvalt nõudest MEPC.328(76) regulatsioonis 22 (viide 2).</t>
    </r>
  </si>
  <si>
    <r>
      <t>Selgitus:</t>
    </r>
    <r>
      <rPr>
        <b/>
        <i/>
        <sz val="11"/>
        <color theme="0" tint="-0.499984740745262"/>
        <rFont val="Aptos Narrow"/>
        <family val="2"/>
        <scheme val="minor"/>
      </rPr>
      <t xml:space="preserve"> renoveerimise tulemusel peab laeva EEXI vähenema vähemalt 10% ehk energiatõhusus suurenema.</t>
    </r>
    <r>
      <rPr>
        <i/>
        <sz val="11"/>
        <color theme="0" tint="-0.499984740745262"/>
        <rFont val="Aptos Narrow"/>
        <family val="2"/>
        <scheme val="minor"/>
      </rPr>
      <t xml:space="preserve">  Arvutamise juhend: 2022 GUIDELINES ON THE METHOD OF CALCULATION OF THE ATTAINED ENERGY EFFICIENCY EXISTING SHIP INDEX (EEXI). </t>
    </r>
  </si>
  <si>
    <r>
      <t>Laeva (väljalasketoru) CO2 otseheide</t>
    </r>
    <r>
      <rPr>
        <sz val="11"/>
        <color rgb="FFC00000"/>
        <rFont val="Aptos Narrow"/>
        <family val="2"/>
        <scheme val="minor"/>
      </rPr>
      <t xml:space="preserve"> </t>
    </r>
    <r>
      <rPr>
        <sz val="11"/>
        <color theme="1"/>
        <rFont val="Aptos Narrow"/>
        <family val="2"/>
        <scheme val="minor"/>
      </rPr>
      <t>tCO2e/t_km,</t>
    </r>
    <r>
      <rPr>
        <sz val="11"/>
        <rFont val="Aptos Narrow"/>
        <family val="2"/>
        <scheme val="minor"/>
      </rPr>
      <t xml:space="preserve"> energiatõhususe indeksi alusel arvutatuna</t>
    </r>
    <r>
      <rPr>
        <i/>
        <sz val="8"/>
        <color theme="0" tint="-0.499984740745262"/>
        <rFont val="Aptos Narrow"/>
        <family val="2"/>
        <scheme val="minor"/>
      </rPr>
      <t xml:space="preserve"> - </t>
    </r>
    <r>
      <rPr>
        <i/>
        <sz val="9"/>
        <color theme="0" tint="-0.499984740745262"/>
        <rFont val="Aptos Narrow"/>
        <family val="2"/>
        <scheme val="minor"/>
      </rPr>
      <t>Juhtumi 3 tõendamiseks vajalik arvutus</t>
    </r>
  </si>
  <si>
    <r>
      <t xml:space="preserve">Laeva EEDI maksimaalne lubatud võrdlusväärtus peale renoveerimist </t>
    </r>
    <r>
      <rPr>
        <i/>
        <sz val="9"/>
        <color theme="0" tint="-0.499984740745262"/>
        <rFont val="Aptos Narrow"/>
        <family val="2"/>
        <scheme val="minor"/>
      </rPr>
      <t>- juhtumi 3) tõendamiseks tuua välja antud tüüpi laeva maksimaalne lubatud EEDI väärtus</t>
    </r>
  </si>
  <si>
    <r>
      <t>Laeva EEDI peale renoveerimist</t>
    </r>
    <r>
      <rPr>
        <sz val="12"/>
        <rFont val="Aptos Narrow"/>
        <family val="2"/>
        <scheme val="minor"/>
      </rPr>
      <t xml:space="preserve"> </t>
    </r>
    <r>
      <rPr>
        <i/>
        <sz val="12"/>
        <color theme="0" tint="-0.499984740745262"/>
        <rFont val="Aptos Narrow"/>
        <family val="2"/>
        <scheme val="minor"/>
      </rPr>
      <t xml:space="preserve">- </t>
    </r>
    <r>
      <rPr>
        <i/>
        <sz val="9"/>
        <color theme="0" tint="-0.499984740745262"/>
        <rFont val="Aptos Narrow"/>
        <family val="2"/>
        <scheme val="minor"/>
      </rPr>
      <t>juhtumi 3) tõendamiseks lisada töölehele "EEDI" vastav arvutukäik laeva renoveermismjärgse EEDI prognoosimiseks</t>
    </r>
  </si>
  <si>
    <t>Siia lehele lisada laeva renoveerimisjärgse EEDI prognoosi arvutuskäik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</si>
</sst>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3" formatCode="_-* #,##0.00_-;\-* #,##0.00_-;_-* &quot;-&quot;??_-;_-@_-"/>
    <numFmt numFmtId="164" formatCode="0.0000"/>
    <numFmt numFmtId="165" formatCode="0.000"/>
    <numFmt numFmtId="166" formatCode="0.0"/>
    <numFmt numFmtId="167" formatCode="0.00000"/>
    <numFmt numFmtId="168" formatCode="_-&quot;$&quot;* #,##0_-;\-&quot;$&quot;* #,##0_-;_-&quot;$&quot;* &quot;-&quot;_-;_-@_-"/>
    <numFmt numFmtId="169" formatCode="_-&quot;$&quot;* #,##0.00_-;\-&quot;$&quot;* #,##0.00_-;_-&quot;$&quot;* &quot;-&quot;??_-;_-@_-"/>
    <numFmt numFmtId="170" formatCode="0.00_)"/>
    <numFmt numFmtId="171" formatCode="0.0%"/>
  </numFmts>
  <fonts count="136" x14ac:knownFonts="1">
    <font>
      <sz val="11"/>
      <color theme="1"/>
      <name val="Aptos Narrow"/>
      <family val="2"/>
      <charset val="186"/>
      <scheme val="minor"/>
    </font>
    <font>
      <sz val="11"/>
      <color theme="1"/>
      <name val="Aptos Narrow"/>
      <family val="2"/>
      <scheme val="minor"/>
    </font>
    <font>
      <sz val="11"/>
      <color theme="1"/>
      <name val="Aptos Narrow"/>
      <family val="2"/>
      <charset val="186"/>
      <scheme val="minor"/>
    </font>
    <font>
      <b/>
      <sz val="15"/>
      <color theme="3"/>
      <name val="Aptos Narrow"/>
      <family val="2"/>
      <charset val="186"/>
      <scheme val="minor"/>
    </font>
    <font>
      <b/>
      <sz val="13"/>
      <color theme="3"/>
      <name val="Aptos Narrow"/>
      <family val="2"/>
      <charset val="186"/>
      <scheme val="minor"/>
    </font>
    <font>
      <sz val="11"/>
      <color rgb="FF3F3F76"/>
      <name val="Aptos Narrow"/>
      <family val="2"/>
      <charset val="186"/>
      <scheme val="minor"/>
    </font>
    <font>
      <b/>
      <sz val="11"/>
      <color theme="1"/>
      <name val="Aptos Narrow"/>
      <family val="2"/>
      <scheme val="minor"/>
    </font>
    <font>
      <u/>
      <sz val="11"/>
      <color theme="10"/>
      <name val="Aptos Narrow"/>
      <family val="2"/>
      <charset val="186"/>
      <scheme val="minor"/>
    </font>
    <font>
      <b/>
      <u/>
      <sz val="11"/>
      <color theme="1"/>
      <name val="Aptos Narrow"/>
      <family val="2"/>
      <scheme val="minor"/>
    </font>
    <font>
      <sz val="11"/>
      <color theme="1"/>
      <name val="Aptos Narrow"/>
      <family val="2"/>
      <scheme val="minor"/>
    </font>
    <font>
      <vertAlign val="subscript"/>
      <sz val="11"/>
      <color theme="1"/>
      <name val="Aptos Narrow"/>
      <family val="2"/>
      <scheme val="minor"/>
    </font>
    <font>
      <b/>
      <vertAlign val="subscript"/>
      <sz val="11"/>
      <color theme="1"/>
      <name val="Aptos Narrow"/>
      <family val="2"/>
      <scheme val="minor"/>
    </font>
    <font>
      <i/>
      <sz val="11"/>
      <color theme="1"/>
      <name val="Aptos Narrow"/>
      <family val="2"/>
      <scheme val="minor"/>
    </font>
    <font>
      <sz val="11"/>
      <name val="Aptos Narrow"/>
      <family val="2"/>
      <charset val="186"/>
      <scheme val="minor"/>
    </font>
    <font>
      <sz val="11"/>
      <name val="Aptos Narrow"/>
      <family val="2"/>
      <scheme val="minor"/>
    </font>
    <font>
      <b/>
      <sz val="11"/>
      <name val="Aptos Narrow"/>
      <family val="2"/>
      <scheme val="minor"/>
    </font>
    <font>
      <vertAlign val="superscript"/>
      <sz val="11"/>
      <name val="Aptos Narrow"/>
      <family val="2"/>
      <scheme val="minor"/>
    </font>
    <font>
      <i/>
      <sz val="11"/>
      <color theme="0" tint="-0.499984740745262"/>
      <name val="Aptos Narrow"/>
      <family val="2"/>
      <scheme val="minor"/>
    </font>
    <font>
      <sz val="11"/>
      <color theme="0" tint="-0.499984740745262"/>
      <name val="Aptos Narrow"/>
      <family val="2"/>
      <charset val="186"/>
      <scheme val="minor"/>
    </font>
    <font>
      <b/>
      <sz val="11"/>
      <color theme="3"/>
      <name val="Cambria"/>
      <family val="1"/>
    </font>
    <font>
      <sz val="11"/>
      <name val="Cambria"/>
      <family val="1"/>
    </font>
    <font>
      <vertAlign val="subscript"/>
      <sz val="11"/>
      <name val="Cambria"/>
      <family val="1"/>
    </font>
    <font>
      <sz val="11"/>
      <color theme="1"/>
      <name val="Cambria"/>
      <family val="1"/>
    </font>
    <font>
      <sz val="18"/>
      <color theme="3"/>
      <name val="Aptos Display"/>
      <family val="2"/>
      <scheme val="major"/>
    </font>
    <font>
      <sz val="11"/>
      <color rgb="FF006100"/>
      <name val="Aptos Narrow"/>
      <family val="2"/>
      <scheme val="minor"/>
    </font>
    <font>
      <sz val="11"/>
      <color rgb="FF9C0006"/>
      <name val="Aptos Narrow"/>
      <family val="2"/>
      <scheme val="minor"/>
    </font>
    <font>
      <sz val="11"/>
      <color rgb="FF9C5700"/>
      <name val="Aptos Narrow"/>
      <family val="2"/>
      <scheme val="minor"/>
    </font>
    <font>
      <b/>
      <sz val="11"/>
      <color theme="0"/>
      <name val="Aptos Narrow"/>
      <family val="2"/>
      <scheme val="minor"/>
    </font>
    <font>
      <sz val="11"/>
      <color theme="0"/>
      <name val="Aptos Narrow"/>
      <family val="2"/>
      <scheme val="minor"/>
    </font>
    <font>
      <sz val="10"/>
      <name val="Verdana"/>
      <family val="2"/>
    </font>
    <font>
      <sz val="10"/>
      <name val="Arial"/>
      <family val="2"/>
    </font>
    <font>
      <u/>
      <sz val="10"/>
      <color indexed="12"/>
      <name val="Verdana"/>
      <family val="2"/>
    </font>
    <font>
      <sz val="10"/>
      <color theme="1"/>
      <name val="Arial"/>
      <family val="2"/>
    </font>
    <font>
      <u/>
      <sz val="11"/>
      <color indexed="12"/>
      <name val="Calibri"/>
      <family val="2"/>
    </font>
    <font>
      <sz val="10"/>
      <color theme="9" tint="-0.499984740745262"/>
      <name val="Arial"/>
      <family val="2"/>
    </font>
    <font>
      <i/>
      <sz val="10"/>
      <color rgb="FFFF0000"/>
      <name val="Arial"/>
      <family val="2"/>
    </font>
    <font>
      <u/>
      <sz val="10"/>
      <color theme="11"/>
      <name val="Arial"/>
      <family val="2"/>
    </font>
    <font>
      <b/>
      <sz val="10"/>
      <color theme="0"/>
      <name val="Arial"/>
      <family val="2"/>
    </font>
    <font>
      <sz val="8"/>
      <name val="Arial"/>
      <family val="2"/>
    </font>
    <font>
      <b/>
      <i/>
      <sz val="16"/>
      <name val="Helv"/>
    </font>
    <font>
      <u/>
      <sz val="11"/>
      <color theme="10"/>
      <name val="Aptos Narrow"/>
      <family val="2"/>
      <scheme val="minor"/>
    </font>
    <font>
      <sz val="12"/>
      <color theme="1"/>
      <name val="Aptos Narrow"/>
      <family val="2"/>
      <scheme val="minor"/>
    </font>
    <font>
      <sz val="11"/>
      <color rgb="FF000000"/>
      <name val="Calibri"/>
      <family val="2"/>
    </font>
    <font>
      <b/>
      <sz val="8"/>
      <name val="Tahoma"/>
      <family val="2"/>
    </font>
    <font>
      <sz val="9"/>
      <color indexed="81"/>
      <name val="Segoe UI"/>
      <family val="2"/>
    </font>
    <font>
      <b/>
      <sz val="11"/>
      <color theme="1"/>
      <name val="Cambria"/>
      <family val="1"/>
    </font>
    <font>
      <b/>
      <sz val="11"/>
      <color theme="0"/>
      <name val="Cambria"/>
      <family val="1"/>
    </font>
    <font>
      <b/>
      <sz val="11"/>
      <name val="Cambria"/>
      <family val="1"/>
    </font>
    <font>
      <vertAlign val="subscript"/>
      <sz val="11"/>
      <color theme="1"/>
      <name val="Cambria"/>
      <family val="1"/>
    </font>
    <font>
      <u/>
      <sz val="11"/>
      <color theme="10"/>
      <name val="Cambria"/>
      <family val="1"/>
    </font>
    <font>
      <sz val="8"/>
      <name val="Cambria"/>
      <family val="1"/>
    </font>
    <font>
      <vertAlign val="superscript"/>
      <sz val="11"/>
      <name val="Cambria"/>
      <family val="1"/>
    </font>
    <font>
      <sz val="8"/>
      <color theme="1"/>
      <name val="Cambria"/>
      <family val="1"/>
    </font>
    <font>
      <b/>
      <sz val="11"/>
      <color rgb="FF44546A"/>
      <name val="Cambria"/>
      <family val="1"/>
    </font>
    <font>
      <vertAlign val="superscript"/>
      <sz val="11"/>
      <color theme="1"/>
      <name val="Cambria"/>
      <family val="1"/>
    </font>
    <font>
      <sz val="11"/>
      <color rgb="FFFF0000"/>
      <name val="Cambria"/>
      <family val="1"/>
    </font>
    <font>
      <i/>
      <sz val="11"/>
      <color theme="1"/>
      <name val="Cambria"/>
      <family val="1"/>
    </font>
    <font>
      <b/>
      <vertAlign val="subscript"/>
      <sz val="11"/>
      <color rgb="FF44546A"/>
      <name val="Cambria"/>
      <family val="1"/>
    </font>
    <font>
      <sz val="11"/>
      <color theme="0"/>
      <name val="Cambria"/>
      <family val="1"/>
    </font>
    <font>
      <i/>
      <sz val="11"/>
      <name val="Cambria"/>
      <family val="1"/>
    </font>
    <font>
      <sz val="9"/>
      <color indexed="81"/>
      <name val="Tahoma"/>
      <family val="2"/>
    </font>
    <font>
      <sz val="11"/>
      <color theme="1" tint="0.499984740745262"/>
      <name val="Aptos Narrow"/>
      <family val="2"/>
      <charset val="186"/>
      <scheme val="minor"/>
    </font>
    <font>
      <b/>
      <i/>
      <sz val="11"/>
      <color theme="1" tint="0.499984740745262"/>
      <name val="Cambria"/>
      <family val="1"/>
    </font>
    <font>
      <i/>
      <sz val="11"/>
      <color theme="1" tint="0.499984740745262"/>
      <name val="Cambria"/>
      <family val="1"/>
    </font>
    <font>
      <sz val="11"/>
      <color theme="1" tint="0.499984740745262"/>
      <name val="Cambria"/>
      <family val="1"/>
    </font>
    <font>
      <i/>
      <sz val="8"/>
      <color theme="1" tint="0.499984740745262"/>
      <name val="Cambria"/>
      <family val="1"/>
    </font>
    <font>
      <i/>
      <vertAlign val="subscript"/>
      <sz val="11"/>
      <color theme="1" tint="0.499984740745262"/>
      <name val="Cambria"/>
      <family val="1"/>
    </font>
    <font>
      <i/>
      <sz val="8"/>
      <color theme="1"/>
      <name val="Cambria"/>
      <family val="1"/>
    </font>
    <font>
      <b/>
      <u/>
      <sz val="11"/>
      <name val="Aptos Narrow"/>
      <family val="2"/>
      <scheme val="minor"/>
    </font>
    <font>
      <i/>
      <sz val="11"/>
      <color rgb="FF00B050"/>
      <name val="Aptos Narrow"/>
      <family val="2"/>
      <scheme val="minor"/>
    </font>
    <font>
      <b/>
      <sz val="11"/>
      <color rgb="FF00B050"/>
      <name val="Aptos Narrow"/>
      <family val="2"/>
      <scheme val="minor"/>
    </font>
    <font>
      <vertAlign val="superscript"/>
      <sz val="11"/>
      <color theme="1"/>
      <name val="Aptos Narrow"/>
      <family val="2"/>
      <scheme val="minor"/>
    </font>
    <font>
      <sz val="11"/>
      <color rgb="FF00B050"/>
      <name val="Aptos Narrow"/>
      <family val="2"/>
      <charset val="186"/>
      <scheme val="minor"/>
    </font>
    <font>
      <b/>
      <sz val="7"/>
      <color rgb="FF202124"/>
      <name val="Arial"/>
      <family val="2"/>
    </font>
    <font>
      <sz val="7"/>
      <color rgb="FF202124"/>
      <name val="Arial"/>
      <family val="2"/>
    </font>
    <font>
      <b/>
      <u/>
      <vertAlign val="superscript"/>
      <sz val="11"/>
      <color theme="1"/>
      <name val="Aptos Narrow"/>
      <family val="2"/>
      <scheme val="minor"/>
    </font>
    <font>
      <b/>
      <vertAlign val="superscript"/>
      <sz val="11"/>
      <color theme="1"/>
      <name val="Aptos Narrow"/>
      <family val="2"/>
      <scheme val="minor"/>
    </font>
    <font>
      <b/>
      <sz val="8"/>
      <name val="Cambria"/>
      <family val="1"/>
    </font>
    <font>
      <b/>
      <vertAlign val="subscript"/>
      <sz val="11"/>
      <color theme="1"/>
      <name val="Cambria"/>
      <family val="1"/>
    </font>
    <font>
      <i/>
      <sz val="8"/>
      <color theme="0" tint="-0.499984740745262"/>
      <name val="Aptos Narrow"/>
      <family val="2"/>
      <scheme val="minor"/>
    </font>
    <font>
      <i/>
      <vertAlign val="subscript"/>
      <sz val="11"/>
      <color theme="0" tint="-0.499984740745262"/>
      <name val="Aptos Narrow"/>
      <family val="2"/>
      <scheme val="minor"/>
    </font>
    <font>
      <sz val="9.5"/>
      <color rgb="FF000000"/>
      <name val="Calibri"/>
      <family val="2"/>
    </font>
    <font>
      <sz val="8.5"/>
      <color rgb="FF000000"/>
      <name val="Calibri"/>
      <family val="2"/>
    </font>
    <font>
      <i/>
      <sz val="8.5"/>
      <color rgb="FF000000"/>
      <name val="Calibri"/>
      <family val="2"/>
    </font>
    <font>
      <u/>
      <sz val="6.5"/>
      <color rgb="FF000000"/>
      <name val="Times New Roman"/>
      <family val="1"/>
    </font>
    <font>
      <sz val="6.5"/>
      <color rgb="FF000000"/>
      <name val="Times New Roman"/>
      <family val="1"/>
    </font>
    <font>
      <sz val="5"/>
      <color rgb="FF000000"/>
      <name val="Calibri"/>
      <family val="2"/>
    </font>
    <font>
      <sz val="6.5"/>
      <color rgb="FF000000"/>
      <name val="Calibri"/>
      <family val="2"/>
    </font>
    <font>
      <sz val="9.5"/>
      <color rgb="FF000000"/>
      <name val="Times New Roman"/>
      <family val="1"/>
    </font>
    <font>
      <sz val="4.5"/>
      <color rgb="FF000000"/>
      <name val="Times New Roman"/>
      <family val="1"/>
    </font>
    <font>
      <vertAlign val="subscript"/>
      <sz val="9.5"/>
      <color rgb="FF000000"/>
      <name val="Calibri"/>
      <family val="2"/>
    </font>
    <font>
      <vertAlign val="subscript"/>
      <sz val="10.5"/>
      <color rgb="FF000000"/>
      <name val="Calibri"/>
      <family val="2"/>
    </font>
    <font>
      <sz val="9.5"/>
      <color rgb="FF000000"/>
      <name val="Calibri"/>
      <family val="1"/>
    </font>
    <font>
      <b/>
      <sz val="9.5"/>
      <color rgb="FF000000"/>
      <name val="Calibri"/>
      <family val="2"/>
    </font>
    <font>
      <sz val="7"/>
      <color rgb="FF000000"/>
      <name val="Times New Roman"/>
      <family val="1"/>
    </font>
    <font>
      <sz val="8"/>
      <name val="Aptos Narrow"/>
      <family val="2"/>
      <charset val="186"/>
      <scheme val="minor"/>
    </font>
    <font>
      <sz val="8"/>
      <color rgb="FF000000"/>
      <name val="Times New Roman"/>
      <family val="1"/>
    </font>
    <font>
      <vertAlign val="subscript"/>
      <sz val="8"/>
      <color rgb="FF000000"/>
      <name val="Times New Roman"/>
      <family val="1"/>
    </font>
    <font>
      <sz val="6.5"/>
      <color rgb="FF000000"/>
      <name val="Calibri"/>
      <family val="1"/>
    </font>
    <font>
      <i/>
      <sz val="9.5"/>
      <color rgb="FF000000"/>
      <name val="Calibri"/>
      <family val="2"/>
    </font>
    <font>
      <i/>
      <sz val="9.5"/>
      <color theme="0" tint="-0.499984740745262"/>
      <name val="Calibri"/>
      <family val="2"/>
    </font>
    <font>
      <sz val="7.5"/>
      <color rgb="FF000000"/>
      <name val="Times New Roman"/>
      <family val="1"/>
    </font>
    <font>
      <sz val="5"/>
      <color rgb="FF000000"/>
      <name val="Times New Roman"/>
      <family val="1"/>
    </font>
    <font>
      <vertAlign val="subscript"/>
      <sz val="7.5"/>
      <color rgb="FF000000"/>
      <name val="Times New Roman"/>
      <family val="1"/>
    </font>
    <font>
      <sz val="8.5"/>
      <color rgb="FF000000"/>
      <name val="Times New Roman"/>
      <family val="1"/>
    </font>
    <font>
      <b/>
      <sz val="9.5"/>
      <color rgb="FF000000"/>
      <name val="Times New Roman"/>
      <family val="1"/>
    </font>
    <font>
      <b/>
      <sz val="7.5"/>
      <color rgb="FF000000"/>
      <name val="Times New Roman"/>
      <family val="1"/>
    </font>
    <font>
      <b/>
      <sz val="5"/>
      <color rgb="FF000000"/>
      <name val="Times New Roman"/>
      <family val="1"/>
    </font>
    <font>
      <b/>
      <vertAlign val="subscript"/>
      <sz val="7.5"/>
      <color rgb="FF000000"/>
      <name val="Times New Roman"/>
      <family val="1"/>
    </font>
    <font>
      <b/>
      <sz val="8.5"/>
      <color rgb="FF000000"/>
      <name val="Times New Roman"/>
      <family val="1"/>
    </font>
    <font>
      <sz val="9"/>
      <color rgb="FF000000"/>
      <name val="Calibri"/>
      <family val="2"/>
    </font>
    <font>
      <sz val="10"/>
      <color theme="1"/>
      <name val="Aptos Narrow"/>
      <family val="2"/>
      <charset val="186"/>
      <scheme val="minor"/>
    </font>
    <font>
      <sz val="9"/>
      <color theme="1"/>
      <name val="Aptos Narrow"/>
      <family val="2"/>
      <charset val="186"/>
      <scheme val="minor"/>
    </font>
    <font>
      <vertAlign val="superscript"/>
      <sz val="8.5"/>
      <color rgb="FF000000"/>
      <name val="Times New Roman"/>
      <family val="1"/>
    </font>
    <font>
      <vertAlign val="subscript"/>
      <sz val="8.5"/>
      <color rgb="FF000000"/>
      <name val="Times New Roman"/>
      <family val="1"/>
    </font>
    <font>
      <vertAlign val="superscript"/>
      <sz val="13"/>
      <color rgb="FF000000"/>
      <name val="Times New Roman"/>
      <family val="1"/>
    </font>
    <font>
      <vertAlign val="superscript"/>
      <sz val="9.5"/>
      <color rgb="FF000000"/>
      <name val="Calibri"/>
      <family val="2"/>
    </font>
    <font>
      <b/>
      <vertAlign val="subscript"/>
      <sz val="11"/>
      <name val="Aptos Narrow"/>
      <family val="2"/>
      <scheme val="minor"/>
    </font>
    <font>
      <sz val="11"/>
      <color rgb="FFFF0000"/>
      <name val="Aptos Narrow"/>
      <family val="2"/>
      <scheme val="minor"/>
    </font>
    <font>
      <b/>
      <i/>
      <u/>
      <sz val="11"/>
      <color theme="0" tint="-0.499984740745262"/>
      <name val="Aptos Narrow"/>
      <family val="2"/>
      <scheme val="minor"/>
    </font>
    <font>
      <i/>
      <u/>
      <sz val="11"/>
      <color theme="0" tint="-0.499984740745262"/>
      <name val="Aptos Narrow"/>
      <family val="2"/>
      <charset val="186"/>
      <scheme val="minor"/>
    </font>
    <font>
      <i/>
      <sz val="11"/>
      <color theme="0" tint="-0.499984740745262"/>
      <name val="Aptos Narrow"/>
      <family val="2"/>
      <charset val="186"/>
      <scheme val="minor"/>
    </font>
    <font>
      <b/>
      <i/>
      <sz val="11"/>
      <color theme="0" tint="-0.499984740745262"/>
      <name val="Aptos Narrow"/>
      <family val="2"/>
      <scheme val="minor"/>
    </font>
    <font>
      <b/>
      <i/>
      <sz val="11"/>
      <name val="Aptos Narrow"/>
      <family val="2"/>
      <scheme val="minor"/>
    </font>
    <font>
      <i/>
      <sz val="11"/>
      <name val="Cambria"/>
      <family val="1"/>
      <charset val="186"/>
    </font>
    <font>
      <i/>
      <vertAlign val="subscript"/>
      <sz val="11"/>
      <name val="Cambria"/>
      <family val="1"/>
    </font>
    <font>
      <i/>
      <sz val="11"/>
      <color theme="1" tint="0.499984740745262"/>
      <name val="Aptos Narrow"/>
      <family val="2"/>
      <scheme val="minor"/>
    </font>
    <font>
      <i/>
      <sz val="11"/>
      <name val="Aptos Narrow"/>
      <family val="2"/>
      <scheme val="minor"/>
    </font>
    <font>
      <b/>
      <i/>
      <sz val="11"/>
      <color theme="1"/>
      <name val="Aptos Narrow"/>
      <family val="2"/>
      <scheme val="minor"/>
    </font>
    <font>
      <b/>
      <i/>
      <sz val="11"/>
      <color theme="4"/>
      <name val="Aptos Narrow"/>
      <family val="2"/>
      <scheme val="minor"/>
    </font>
    <font>
      <sz val="11"/>
      <color rgb="FFC00000"/>
      <name val="Aptos Narrow"/>
      <family val="2"/>
      <scheme val="minor"/>
    </font>
    <font>
      <sz val="11"/>
      <color rgb="FFC00000"/>
      <name val="Aptos Narrow"/>
      <family val="2"/>
      <charset val="186"/>
      <scheme val="minor"/>
    </font>
    <font>
      <sz val="11"/>
      <color theme="0" tint="-0.499984740745262"/>
      <name val="Aptos Narrow"/>
      <family val="2"/>
      <scheme val="minor"/>
    </font>
    <font>
      <i/>
      <sz val="9"/>
      <color theme="0" tint="-0.499984740745262"/>
      <name val="Aptos Narrow"/>
      <family val="2"/>
      <scheme val="minor"/>
    </font>
    <font>
      <sz val="12"/>
      <name val="Aptos Narrow"/>
      <family val="2"/>
      <scheme val="minor"/>
    </font>
    <font>
      <i/>
      <sz val="12"/>
      <color theme="0" tint="-0.499984740745262"/>
      <name val="Aptos Narrow"/>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FF99"/>
        <bgColor indexed="64"/>
      </patternFill>
    </fill>
    <fill>
      <patternFill patternType="solid">
        <fgColor theme="0"/>
        <bgColor indexed="64"/>
      </patternFill>
    </fill>
    <fill>
      <patternFill patternType="solid">
        <fgColor rgb="FFFFFFCC"/>
        <bgColor indexed="64"/>
      </patternFill>
    </fill>
    <fill>
      <patternFill patternType="solid">
        <fgColor rgb="FFBFF9B5"/>
        <bgColor indexed="64"/>
      </patternFill>
    </fill>
    <fill>
      <patternFill patternType="solid">
        <fgColor indexed="22"/>
        <bgColor indexed="64"/>
      </patternFill>
    </fill>
    <fill>
      <patternFill patternType="solid">
        <fgColor rgb="FF92D050"/>
        <bgColor indexed="64"/>
      </patternFill>
    </fill>
    <fill>
      <patternFill patternType="solid">
        <fgColor rgb="FFCC99FF"/>
        <bgColor indexed="64"/>
      </patternFill>
    </fill>
    <fill>
      <patternFill patternType="solid">
        <fgColor theme="7" tint="0.39997558519241921"/>
        <bgColor rgb="FF000000"/>
      </patternFill>
    </fill>
    <fill>
      <patternFill patternType="solid">
        <fgColor rgb="FFFFFF99"/>
        <bgColor rgb="FF000000"/>
      </patternFill>
    </fill>
    <fill>
      <patternFill patternType="solid">
        <fgColor rgb="FF002060"/>
        <bgColor indexed="64"/>
      </patternFill>
    </fill>
    <fill>
      <patternFill patternType="solid">
        <fgColor theme="4" tint="0.79998168889431442"/>
        <bgColor rgb="FF000000"/>
      </patternFill>
    </fill>
    <fill>
      <patternFill patternType="solid">
        <fgColor rgb="FFFF0000"/>
        <bgColor indexed="64"/>
      </patternFill>
    </fill>
    <fill>
      <patternFill patternType="solid">
        <fgColor theme="5" tint="0.79998168889431442"/>
        <bgColor indexed="64"/>
      </patternFill>
    </fill>
    <fill>
      <patternFill patternType="solid">
        <fgColor indexed="26"/>
        <bgColor indexed="64"/>
      </patternFill>
    </fill>
    <fill>
      <patternFill patternType="solid">
        <fgColor rgb="FF00808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FFFF"/>
      </patternFill>
    </fill>
    <fill>
      <patternFill patternType="solid">
        <fgColor rgb="FFF0F5FF"/>
      </patternFill>
    </fill>
    <fill>
      <patternFill patternType="solid">
        <fgColor rgb="FF00B180"/>
        <bgColor indexed="64"/>
      </patternFill>
    </fill>
    <fill>
      <patternFill patternType="solid">
        <fgColor rgb="FFFFFFFF"/>
        <bgColor rgb="FF000000"/>
      </patternFill>
    </fill>
    <fill>
      <patternFill patternType="solid">
        <fgColor rgb="FFE1FFF6"/>
        <bgColor rgb="FF000000"/>
      </patternFill>
    </fill>
    <fill>
      <patternFill patternType="solid">
        <fgColor theme="2"/>
        <bgColor indexed="64"/>
      </patternFill>
    </fill>
    <fill>
      <patternFill patternType="solid">
        <fgColor theme="3" tint="0.89999084444715716"/>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FFFFFF"/>
        <bgColor indexed="64"/>
      </patternFill>
    </fill>
    <fill>
      <patternFill patternType="solid">
        <fgColor rgb="FFD0D0D0"/>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rgb="FFB2B2B2"/>
      </left>
      <right/>
      <top style="thin">
        <color rgb="FFB2B2B2"/>
      </top>
      <bottom style="thin">
        <color rgb="FFB2B2B2"/>
      </bottom>
      <diagonal/>
    </border>
    <border>
      <left/>
      <right/>
      <top style="thin">
        <color rgb="FFB2B2B2"/>
      </top>
      <bottom style="thin">
        <color rgb="FFB2B2B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FBFBF"/>
      </left>
      <right style="thin">
        <color rgb="FFBFBFBF"/>
      </right>
      <top style="thin">
        <color rgb="FFBFBFBF"/>
      </top>
      <bottom style="thin">
        <color rgb="FFBFBFBF"/>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left>
      <right style="medium">
        <color theme="0"/>
      </right>
      <top style="medium">
        <color theme="0"/>
      </top>
      <bottom style="medium">
        <color theme="0"/>
      </bottom>
      <diagonal/>
    </border>
    <border>
      <left/>
      <right style="thin">
        <color rgb="FFB2B2B2"/>
      </right>
      <top style="thin">
        <color rgb="FFB2B2B2"/>
      </top>
      <bottom style="thin">
        <color rgb="FFB2B2B2"/>
      </bottom>
      <diagonal/>
    </border>
    <border>
      <left style="thin">
        <color rgb="FFB2B2B2"/>
      </left>
      <right style="thin">
        <color rgb="FFB2B2B2"/>
      </right>
      <top style="thin">
        <color rgb="FFB2B2B2"/>
      </top>
      <bottom/>
      <diagonal/>
    </border>
    <border>
      <left style="thin">
        <color rgb="FFB2B2B2"/>
      </left>
      <right style="thin">
        <color rgb="FFB2B2B2"/>
      </right>
      <top/>
      <bottom style="thin">
        <color rgb="FFB2B2B2"/>
      </bottom>
      <diagonal/>
    </border>
    <border>
      <left style="thin">
        <color rgb="FFB2B2B2"/>
      </left>
      <right style="thin">
        <color rgb="FFB2B2B2"/>
      </right>
      <top/>
      <bottom/>
      <diagonal/>
    </border>
    <border>
      <left style="thin">
        <color rgb="FFB2B2B2"/>
      </left>
      <right/>
      <top style="thin">
        <color rgb="FFB2B2B2"/>
      </top>
      <bottom/>
      <diagonal/>
    </border>
    <border>
      <left style="thin">
        <color rgb="FFDADCDD"/>
      </left>
      <right style="thin">
        <color rgb="FFDADCDD"/>
      </right>
      <top style="thin">
        <color rgb="FFDADCDD"/>
      </top>
      <bottom style="thin">
        <color rgb="FFDADCDD"/>
      </bottom>
      <diagonal/>
    </border>
    <border>
      <left style="thin">
        <color rgb="FFB2B2B2"/>
      </left>
      <right/>
      <top/>
      <bottom style="thin">
        <color rgb="FFB2B2B2"/>
      </bottom>
      <diagonal/>
    </border>
    <border>
      <left/>
      <right/>
      <top/>
      <bottom style="medium">
        <color rgb="FFEBEBEB"/>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s>
  <cellStyleXfs count="139">
    <xf numFmtId="0" fontId="0" fillId="0" borderId="0"/>
    <xf numFmtId="9" fontId="2" fillId="0" borderId="0" applyFont="0" applyFill="0" applyBorder="0" applyAlignment="0" applyProtection="0"/>
    <xf numFmtId="0" fontId="7" fillId="0" borderId="0" applyNumberFormat="0" applyFill="0" applyBorder="0" applyAlignment="0" applyProtection="0"/>
    <xf numFmtId="0" fontId="9" fillId="0" borderId="0"/>
    <xf numFmtId="0" fontId="23" fillId="0" borderId="0" applyNumberFormat="0" applyFill="0" applyBorder="0" applyAlignment="0" applyProtection="0"/>
    <xf numFmtId="0" fontId="24" fillId="2" borderId="0" applyNumberFormat="0" applyBorder="0" applyAlignment="0" applyProtection="0"/>
    <xf numFmtId="0" fontId="25" fillId="3" borderId="0" applyNumberFormat="0" applyBorder="0" applyAlignment="0" applyProtection="0"/>
    <xf numFmtId="0" fontId="26" fillId="4" borderId="0" applyNumberFormat="0" applyBorder="0" applyAlignment="0" applyProtection="0"/>
    <xf numFmtId="0" fontId="27" fillId="5" borderId="4" applyNumberFormat="0" applyAlignment="0" applyProtection="0"/>
    <xf numFmtId="0" fontId="28"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28"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28"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28"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28"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28"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29" fillId="0" borderId="0"/>
    <xf numFmtId="43" fontId="29" fillId="0" borderId="0" applyFont="0" applyFill="0" applyBorder="0" applyAlignment="0" applyProtection="0"/>
    <xf numFmtId="0" fontId="31" fillId="0" borderId="0" applyNumberFormat="0" applyFill="0" applyBorder="0" applyAlignment="0" applyProtection="0">
      <alignment vertical="top"/>
      <protection locked="0"/>
    </xf>
    <xf numFmtId="0" fontId="32" fillId="0" borderId="0"/>
    <xf numFmtId="0" fontId="30" fillId="40" borderId="13" applyNumberFormat="0" applyAlignment="0" applyProtection="0"/>
    <xf numFmtId="0" fontId="34" fillId="41" borderId="14" applyNumberFormat="0" applyProtection="0">
      <alignment vertical="center"/>
    </xf>
    <xf numFmtId="43" fontId="32"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3" fillId="0" borderId="0" applyNumberFormat="0" applyFill="0" applyBorder="0" applyAlignment="0" applyProtection="0">
      <alignment vertical="top"/>
      <protection locked="0"/>
    </xf>
    <xf numFmtId="0" fontId="30" fillId="34" borderId="3" applyNumberFormat="0" applyBorder="0" applyAlignment="0" applyProtection="0"/>
    <xf numFmtId="0" fontId="30" fillId="42" borderId="0">
      <alignment vertical="center"/>
    </xf>
    <xf numFmtId="0" fontId="30" fillId="39" borderId="15" applyNumberFormat="0" applyAlignment="0" applyProtection="0"/>
    <xf numFmtId="0" fontId="32" fillId="6" borderId="5" applyNumberFormat="0" applyFont="0" applyAlignment="0" applyProtection="0"/>
    <xf numFmtId="0" fontId="37" fillId="43" borderId="16" applyNumberFormat="0" applyAlignment="0" applyProtection="0"/>
    <xf numFmtId="0" fontId="14" fillId="44" borderId="5" applyNumberFormat="0" applyProtection="0">
      <alignment vertical="center"/>
    </xf>
    <xf numFmtId="0" fontId="37" fillId="45" borderId="0" applyNumberFormat="0" applyBorder="0" applyAlignment="0" applyProtection="0"/>
    <xf numFmtId="0" fontId="30" fillId="0" borderId="0"/>
    <xf numFmtId="43" fontId="30" fillId="0" borderId="0" applyFont="0" applyFill="0" applyBorder="0" applyAlignment="0" applyProtection="0"/>
    <xf numFmtId="38" fontId="38" fillId="38" borderId="0" applyNumberFormat="0" applyBorder="0" applyAlignment="0" applyProtection="0"/>
    <xf numFmtId="10" fontId="38" fillId="47" borderId="7" applyNumberFormat="0" applyBorder="0" applyAlignment="0" applyProtection="0"/>
    <xf numFmtId="170" fontId="39" fillId="0" borderId="0"/>
    <xf numFmtId="9" fontId="30" fillId="0" borderId="0" applyFont="0" applyFill="0" applyBorder="0" applyAlignment="0" applyProtection="0"/>
    <xf numFmtId="10" fontId="30" fillId="0" borderId="0" applyFont="0" applyFill="0" applyBorder="0" applyAlignment="0" applyProtection="0"/>
    <xf numFmtId="41" fontId="30" fillId="0" borderId="0" applyFont="0" applyFill="0" applyBorder="0" applyAlignment="0" applyProtection="0"/>
    <xf numFmtId="43" fontId="30" fillId="0" borderId="0" applyFont="0" applyFill="0" applyBorder="0" applyAlignment="0" applyProtection="0"/>
    <xf numFmtId="168" fontId="30" fillId="0" borderId="0" applyFont="0" applyFill="0" applyBorder="0" applyAlignment="0" applyProtection="0"/>
    <xf numFmtId="16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40" fillId="0" borderId="0" applyNumberFormat="0" applyFill="0" applyBorder="0" applyAlignment="0" applyProtection="0"/>
    <xf numFmtId="0" fontId="32" fillId="0" borderId="0"/>
    <xf numFmtId="0" fontId="30" fillId="34" borderId="3" applyNumberFormat="0" applyBorder="0" applyAlignment="0" applyProtection="0"/>
    <xf numFmtId="0" fontId="30" fillId="34" borderId="3" applyNumberFormat="0" applyBorder="0" applyAlignment="0" applyProtection="0"/>
    <xf numFmtId="0" fontId="30" fillId="34" borderId="3" applyNumberFormat="0" applyBorder="0" applyAlignment="0" applyProtection="0"/>
    <xf numFmtId="0" fontId="30" fillId="34" borderId="3" applyNumberFormat="0" applyBorder="0" applyAlignment="0" applyProtection="0"/>
    <xf numFmtId="0" fontId="30" fillId="34" borderId="3" applyNumberFormat="0" applyBorder="0" applyAlignment="0" applyProtection="0"/>
    <xf numFmtId="0" fontId="30" fillId="34" borderId="3" applyNumberFormat="0" applyBorder="0" applyAlignment="0" applyProtection="0"/>
    <xf numFmtId="0" fontId="30" fillId="34" borderId="3" applyNumberFormat="0" applyBorder="0" applyAlignment="0" applyProtection="0"/>
    <xf numFmtId="0" fontId="30" fillId="34" borderId="3" applyNumberFormat="0" applyBorder="0" applyAlignment="0" applyProtection="0"/>
    <xf numFmtId="0" fontId="30" fillId="34" borderId="3" applyNumberFormat="0" applyBorder="0" applyAlignment="0" applyProtection="0"/>
    <xf numFmtId="0" fontId="30" fillId="34" borderId="3" applyNumberFormat="0" applyBorder="0" applyAlignment="0" applyProtection="0"/>
    <xf numFmtId="0" fontId="30" fillId="34" borderId="3" applyNumberFormat="0" applyBorder="0" applyAlignment="0" applyProtection="0"/>
    <xf numFmtId="0" fontId="30" fillId="34" borderId="3" applyNumberFormat="0" applyBorder="0" applyAlignment="0" applyProtection="0"/>
    <xf numFmtId="0" fontId="32" fillId="0" borderId="0"/>
    <xf numFmtId="0" fontId="30" fillId="34" borderId="3" applyNumberFormat="0" applyBorder="0" applyAlignment="0" applyProtection="0"/>
    <xf numFmtId="0" fontId="30" fillId="34" borderId="3" applyNumberFormat="0" applyBorder="0" applyAlignment="0" applyProtection="0"/>
    <xf numFmtId="0" fontId="30" fillId="34" borderId="3" applyNumberFormat="0" applyBorder="0" applyAlignment="0" applyProtection="0"/>
    <xf numFmtId="0" fontId="32" fillId="0" borderId="0"/>
    <xf numFmtId="0" fontId="32" fillId="0" borderId="0"/>
    <xf numFmtId="0" fontId="30" fillId="34" borderId="3" applyNumberFormat="0" applyBorder="0" applyAlignment="0" applyProtection="0"/>
    <xf numFmtId="0" fontId="30" fillId="34" borderId="3" applyNumberFormat="0" applyBorder="0" applyAlignment="0" applyProtection="0"/>
    <xf numFmtId="0" fontId="32" fillId="0" borderId="0"/>
    <xf numFmtId="0" fontId="30" fillId="34" borderId="3" applyNumberFormat="0" applyBorder="0" applyAlignment="0" applyProtection="0"/>
    <xf numFmtId="0" fontId="32" fillId="0" borderId="0"/>
    <xf numFmtId="0" fontId="30" fillId="34" borderId="3" applyNumberFormat="0" applyBorder="0" applyAlignment="0" applyProtection="0"/>
    <xf numFmtId="0" fontId="32" fillId="0" borderId="0"/>
    <xf numFmtId="0" fontId="30" fillId="34" borderId="3" applyNumberFormat="0" applyBorder="0" applyAlignment="0" applyProtection="0"/>
    <xf numFmtId="0" fontId="30" fillId="34" borderId="3" applyNumberFormat="0" applyBorder="0" applyAlignment="0" applyProtection="0"/>
    <xf numFmtId="0" fontId="32" fillId="0" borderId="0"/>
    <xf numFmtId="0" fontId="32" fillId="0" borderId="0"/>
    <xf numFmtId="0" fontId="30" fillId="34" borderId="3" applyNumberFormat="0" applyBorder="0" applyAlignment="0" applyProtection="0"/>
    <xf numFmtId="0" fontId="32" fillId="0" borderId="0"/>
    <xf numFmtId="0" fontId="32" fillId="0" borderId="0"/>
    <xf numFmtId="0" fontId="32" fillId="0" borderId="0"/>
    <xf numFmtId="0" fontId="32" fillId="0" borderId="0"/>
    <xf numFmtId="0" fontId="30" fillId="34" borderId="3" applyNumberFormat="0" applyBorder="0" applyAlignment="0" applyProtection="0"/>
    <xf numFmtId="0" fontId="30" fillId="34" borderId="3" applyNumberFormat="0" applyBorder="0" applyAlignment="0" applyProtection="0"/>
    <xf numFmtId="0" fontId="30" fillId="34" borderId="3" applyNumberFormat="0" applyBorder="0" applyAlignment="0" applyProtection="0"/>
    <xf numFmtId="0" fontId="30" fillId="34" borderId="3" applyNumberFormat="0" applyBorder="0" applyAlignment="0" applyProtection="0"/>
    <xf numFmtId="0" fontId="32" fillId="0" borderId="0"/>
    <xf numFmtId="0" fontId="30" fillId="34" borderId="3" applyNumberFormat="0" applyBorder="0" applyAlignment="0" applyProtection="0"/>
    <xf numFmtId="0" fontId="30" fillId="34" borderId="3"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7" fillId="48" borderId="17">
      <alignment horizontal="left" vertical="top" wrapText="1" indent="1"/>
    </xf>
    <xf numFmtId="0" fontId="32" fillId="0" borderId="0"/>
    <xf numFmtId="0" fontId="30" fillId="34" borderId="3" applyNumberFormat="0" applyBorder="0" applyAlignment="0" applyProtection="0"/>
    <xf numFmtId="0" fontId="30" fillId="0" borderId="0"/>
    <xf numFmtId="9" fontId="30" fillId="0" borderId="0" applyFont="0" applyFill="0" applyBorder="0" applyAlignment="0" applyProtection="0"/>
    <xf numFmtId="0" fontId="3" fillId="0" borderId="1" applyNumberFormat="0" applyFill="0" applyProtection="0">
      <alignment vertical="center"/>
    </xf>
    <xf numFmtId="0" fontId="4" fillId="0" borderId="2" applyNumberFormat="0" applyFill="0" applyBorder="0" applyAlignment="0" applyProtection="0"/>
    <xf numFmtId="0" fontId="5" fillId="50" borderId="3" applyNumberFormat="0" applyAlignment="0" applyProtection="0"/>
    <xf numFmtId="0" fontId="9" fillId="6" borderId="5" applyNumberFormat="0" applyFont="0" applyAlignment="0" applyProtection="0"/>
    <xf numFmtId="0" fontId="4" fillId="0" borderId="0">
      <alignment vertical="center"/>
    </xf>
    <xf numFmtId="0" fontId="42" fillId="51" borderId="23"/>
    <xf numFmtId="0" fontId="42" fillId="52" borderId="23"/>
    <xf numFmtId="43" fontId="29" fillId="0" borderId="0" applyFont="0" applyFill="0" applyBorder="0" applyAlignment="0" applyProtection="0"/>
    <xf numFmtId="43" fontId="32" fillId="0" borderId="0" applyFont="0" applyFill="0" applyBorder="0" applyAlignment="0" applyProtection="0"/>
    <xf numFmtId="43" fontId="30" fillId="0" borderId="0" applyFont="0" applyFill="0" applyBorder="0" applyAlignment="0" applyProtection="0"/>
    <xf numFmtId="0" fontId="41" fillId="0" borderId="0"/>
    <xf numFmtId="9" fontId="9" fillId="0" borderId="0" applyFont="0" applyFill="0" applyBorder="0" applyAlignment="0" applyProtection="0"/>
  </cellStyleXfs>
  <cellXfs count="370">
    <xf numFmtId="0" fontId="0" fillId="0" borderId="0" xfId="0"/>
    <xf numFmtId="0" fontId="0" fillId="0" borderId="0" xfId="0" applyAlignment="1">
      <alignment wrapText="1"/>
    </xf>
    <xf numFmtId="0" fontId="0" fillId="0" borderId="0" xfId="0" applyAlignment="1">
      <alignment horizontal="center"/>
    </xf>
    <xf numFmtId="0" fontId="6" fillId="0" borderId="0" xfId="0" applyFont="1"/>
    <xf numFmtId="0" fontId="7" fillId="0" borderId="0" xfId="2"/>
    <xf numFmtId="0" fontId="9" fillId="0" borderId="0" xfId="0" applyFont="1"/>
    <xf numFmtId="0" fontId="0" fillId="0" borderId="0" xfId="0" applyAlignment="1">
      <alignment horizontal="center" vertical="center"/>
    </xf>
    <xf numFmtId="164" fontId="0" fillId="0" borderId="0" xfId="0" applyNumberFormat="1"/>
    <xf numFmtId="165" fontId="0" fillId="0" borderId="0" xfId="0" applyNumberFormat="1"/>
    <xf numFmtId="2" fontId="0" fillId="0" borderId="0" xfId="0" applyNumberFormat="1"/>
    <xf numFmtId="0" fontId="12" fillId="0" borderId="0" xfId="0" applyFont="1"/>
    <xf numFmtId="0" fontId="8" fillId="0" borderId="0" xfId="0" applyFont="1"/>
    <xf numFmtId="0" fontId="14" fillId="0" borderId="0" xfId="0" applyFont="1" applyAlignment="1">
      <alignment horizontal="center"/>
    </xf>
    <xf numFmtId="0" fontId="7" fillId="0" borderId="0" xfId="2" applyProtection="1"/>
    <xf numFmtId="0" fontId="0" fillId="0" borderId="10" xfId="0" applyBorder="1"/>
    <xf numFmtId="0" fontId="17" fillId="0" borderId="0" xfId="0" applyFont="1"/>
    <xf numFmtId="0" fontId="19" fillId="37" borderId="11" xfId="0" applyFont="1" applyFill="1" applyBorder="1"/>
    <xf numFmtId="0" fontId="19" fillId="37" borderId="5" xfId="0" applyFont="1" applyFill="1" applyBorder="1"/>
    <xf numFmtId="0" fontId="20" fillId="0" borderId="5" xfId="0" applyFont="1" applyBorder="1" applyAlignment="1">
      <alignment vertical="center" wrapText="1"/>
    </xf>
    <xf numFmtId="0" fontId="20" fillId="0" borderId="11" xfId="0" applyFont="1" applyBorder="1"/>
    <xf numFmtId="0" fontId="20" fillId="0" borderId="5" xfId="0" applyFont="1" applyBorder="1" applyAlignment="1">
      <alignment horizontal="left" vertical="center" wrapText="1"/>
    </xf>
    <xf numFmtId="0" fontId="22" fillId="0" borderId="11" xfId="0" applyFont="1" applyBorder="1"/>
    <xf numFmtId="0" fontId="20" fillId="0" borderId="11" xfId="0" applyFont="1" applyBorder="1" applyAlignment="1">
      <alignment horizontal="left"/>
    </xf>
    <xf numFmtId="165" fontId="20" fillId="0" borderId="5" xfId="0" applyNumberFormat="1" applyFont="1" applyBorder="1" applyAlignment="1">
      <alignment horizontal="center"/>
    </xf>
    <xf numFmtId="165" fontId="20" fillId="0" borderId="5" xfId="3" applyNumberFormat="1" applyFont="1" applyBorder="1" applyAlignment="1">
      <alignment horizontal="center"/>
    </xf>
    <xf numFmtId="165" fontId="20" fillId="35" borderId="5" xfId="3" applyNumberFormat="1" applyFont="1" applyFill="1" applyBorder="1" applyAlignment="1">
      <alignment horizontal="center"/>
    </xf>
    <xf numFmtId="0" fontId="20" fillId="0" borderId="5" xfId="3" applyFont="1" applyBorder="1" applyAlignment="1">
      <alignment horizontal="center"/>
    </xf>
    <xf numFmtId="2" fontId="0" fillId="0" borderId="7" xfId="0" applyNumberFormat="1" applyBorder="1" applyAlignment="1">
      <alignment horizontal="center"/>
    </xf>
    <xf numFmtId="0" fontId="9" fillId="0" borderId="0" xfId="0" applyFont="1" applyAlignment="1">
      <alignment horizontal="left" vertical="top"/>
    </xf>
    <xf numFmtId="0" fontId="22" fillId="0" borderId="5" xfId="0" applyFont="1" applyBorder="1"/>
    <xf numFmtId="2" fontId="14" fillId="0" borderId="0" xfId="0" applyNumberFormat="1" applyFont="1" applyAlignment="1">
      <alignment horizontal="center"/>
    </xf>
    <xf numFmtId="166" fontId="6" fillId="0" borderId="7" xfId="0" applyNumberFormat="1" applyFont="1" applyBorder="1" applyAlignment="1">
      <alignment horizontal="center"/>
    </xf>
    <xf numFmtId="0" fontId="14" fillId="31" borderId="7" xfId="0" applyFont="1" applyFill="1" applyBorder="1" applyAlignment="1" applyProtection="1">
      <alignment horizontal="center"/>
      <protection locked="0"/>
    </xf>
    <xf numFmtId="0" fontId="14" fillId="0" borderId="7" xfId="0" applyFont="1" applyBorder="1" applyAlignment="1">
      <alignment horizontal="left"/>
    </xf>
    <xf numFmtId="0" fontId="9" fillId="0" borderId="7" xfId="0" applyFont="1" applyBorder="1" applyAlignment="1">
      <alignment horizontal="left" vertical="top"/>
    </xf>
    <xf numFmtId="0" fontId="62" fillId="53" borderId="11" xfId="0" applyFont="1" applyFill="1" applyBorder="1"/>
    <xf numFmtId="0" fontId="62" fillId="37" borderId="24" xfId="0" applyFont="1" applyFill="1" applyBorder="1" applyAlignment="1">
      <alignment horizontal="left"/>
    </xf>
    <xf numFmtId="0" fontId="63" fillId="53" borderId="12" xfId="0" applyFont="1" applyFill="1" applyBorder="1"/>
    <xf numFmtId="0" fontId="63" fillId="53" borderId="12" xfId="0" applyFont="1" applyFill="1" applyBorder="1" applyAlignment="1">
      <alignment horizontal="center"/>
    </xf>
    <xf numFmtId="0" fontId="63" fillId="53" borderId="18" xfId="0" applyFont="1" applyFill="1" applyBorder="1"/>
    <xf numFmtId="0" fontId="63" fillId="35" borderId="11" xfId="0" applyFont="1" applyFill="1" applyBorder="1"/>
    <xf numFmtId="0" fontId="74" fillId="0" borderId="25" xfId="0" applyFont="1" applyBorder="1" applyAlignment="1">
      <alignment vertical="center" wrapText="1"/>
    </xf>
    <xf numFmtId="0" fontId="6" fillId="0" borderId="0" xfId="0" applyFont="1" applyAlignment="1">
      <alignment vertical="center"/>
    </xf>
    <xf numFmtId="0" fontId="72" fillId="0" borderId="7" xfId="0" applyFont="1" applyBorder="1" applyAlignment="1">
      <alignment horizontal="center" vertical="top"/>
    </xf>
    <xf numFmtId="0" fontId="63" fillId="0" borderId="5" xfId="0" applyFont="1" applyBorder="1"/>
    <xf numFmtId="0" fontId="63" fillId="0" borderId="5" xfId="0" applyFont="1" applyBorder="1" applyAlignment="1">
      <alignment horizontal="left"/>
    </xf>
    <xf numFmtId="2" fontId="14" fillId="39" borderId="7" xfId="0" applyNumberFormat="1" applyFont="1" applyFill="1" applyBorder="1" applyAlignment="1">
      <alignment horizontal="center"/>
    </xf>
    <xf numFmtId="166" fontId="0" fillId="0" borderId="7" xfId="0" applyNumberFormat="1" applyBorder="1" applyAlignment="1">
      <alignment horizontal="center"/>
    </xf>
    <xf numFmtId="0" fontId="0" fillId="33" borderId="0" xfId="0" applyFill="1"/>
    <xf numFmtId="0" fontId="73" fillId="0" borderId="25" xfId="0" applyFont="1" applyBorder="1" applyAlignment="1">
      <alignment vertical="center" wrapText="1"/>
    </xf>
    <xf numFmtId="164" fontId="0" fillId="0" borderId="10" xfId="0" applyNumberFormat="1" applyBorder="1"/>
    <xf numFmtId="0" fontId="69" fillId="0" borderId="0" xfId="0" applyFont="1"/>
    <xf numFmtId="166" fontId="15" fillId="0" borderId="7" xfId="0" applyNumberFormat="1" applyFont="1" applyBorder="1" applyAlignment="1">
      <alignment horizontal="center"/>
    </xf>
    <xf numFmtId="0" fontId="6" fillId="0" borderId="10" xfId="0" applyFont="1" applyBorder="1" applyAlignment="1">
      <alignment vertical="center"/>
    </xf>
    <xf numFmtId="0" fontId="56" fillId="0" borderId="11" xfId="0" applyFont="1" applyBorder="1"/>
    <xf numFmtId="165" fontId="56" fillId="0" borderId="5" xfId="0" applyNumberFormat="1" applyFont="1" applyBorder="1" applyAlignment="1">
      <alignment horizontal="center"/>
    </xf>
    <xf numFmtId="0" fontId="6" fillId="33" borderId="7" xfId="0" applyFont="1" applyFill="1" applyBorder="1"/>
    <xf numFmtId="0" fontId="56" fillId="0" borderId="5" xfId="0" applyFont="1" applyBorder="1"/>
    <xf numFmtId="0" fontId="6" fillId="33" borderId="7" xfId="0" applyFont="1" applyFill="1" applyBorder="1" applyAlignment="1">
      <alignment horizontal="center"/>
    </xf>
    <xf numFmtId="0" fontId="0" fillId="33" borderId="7" xfId="0" applyFill="1" applyBorder="1"/>
    <xf numFmtId="0" fontId="68" fillId="0" borderId="0" xfId="0" applyFont="1"/>
    <xf numFmtId="0" fontId="19" fillId="37" borderId="11" xfId="0" applyFont="1" applyFill="1" applyBorder="1" applyAlignment="1">
      <alignment wrapText="1"/>
    </xf>
    <xf numFmtId="0" fontId="59" fillId="0" borderId="5" xfId="0" applyFont="1" applyBorder="1"/>
    <xf numFmtId="0" fontId="9" fillId="33" borderId="7" xfId="0" applyFont="1" applyFill="1" applyBorder="1"/>
    <xf numFmtId="0" fontId="0" fillId="0" borderId="7" xfId="0" applyBorder="1" applyAlignment="1">
      <alignment horizontal="center"/>
    </xf>
    <xf numFmtId="0" fontId="0" fillId="31" borderId="7" xfId="0" applyFill="1" applyBorder="1" applyAlignment="1" applyProtection="1">
      <alignment horizontal="center"/>
      <protection locked="0"/>
    </xf>
    <xf numFmtId="0" fontId="6" fillId="0" borderId="10" xfId="0" applyFont="1" applyBorder="1" applyAlignment="1">
      <alignment vertical="center" wrapText="1"/>
    </xf>
    <xf numFmtId="0" fontId="62" fillId="37" borderId="20" xfId="0" applyFont="1" applyFill="1" applyBorder="1"/>
    <xf numFmtId="0" fontId="14" fillId="0" borderId="7" xfId="0" applyFont="1" applyBorder="1" applyAlignment="1">
      <alignment horizontal="center"/>
    </xf>
    <xf numFmtId="0" fontId="20" fillId="0" borderId="5" xfId="0" applyFont="1" applyBorder="1"/>
    <xf numFmtId="0" fontId="63" fillId="0" borderId="11" xfId="0" applyFont="1" applyBorder="1"/>
    <xf numFmtId="0" fontId="62" fillId="37" borderId="20" xfId="0" applyFont="1" applyFill="1" applyBorder="1" applyAlignment="1">
      <alignment horizontal="left"/>
    </xf>
    <xf numFmtId="0" fontId="64" fillId="53" borderId="18" xfId="0" applyFont="1" applyFill="1" applyBorder="1"/>
    <xf numFmtId="165" fontId="63" fillId="0" borderId="5" xfId="0" applyNumberFormat="1" applyFont="1" applyBorder="1" applyAlignment="1">
      <alignment horizontal="center"/>
    </xf>
    <xf numFmtId="0" fontId="22" fillId="0" borderId="5" xfId="3" applyFont="1" applyBorder="1"/>
    <xf numFmtId="0" fontId="22" fillId="0" borderId="12" xfId="3" applyFont="1" applyBorder="1"/>
    <xf numFmtId="0" fontId="49" fillId="0" borderId="5" xfId="65" applyFont="1" applyBorder="1"/>
    <xf numFmtId="0" fontId="19" fillId="37" borderId="21" xfId="0" applyFont="1" applyFill="1" applyBorder="1" applyAlignment="1">
      <alignment vertical="top"/>
    </xf>
    <xf numFmtId="0" fontId="19" fillId="37" borderId="24" xfId="0" applyFont="1" applyFill="1" applyBorder="1" applyAlignment="1">
      <alignment horizontal="left"/>
    </xf>
    <xf numFmtId="0" fontId="19" fillId="37" borderId="24" xfId="0" applyFont="1" applyFill="1" applyBorder="1" applyAlignment="1">
      <alignment horizontal="left" vertical="top"/>
    </xf>
    <xf numFmtId="164" fontId="20" fillId="0" borderId="11" xfId="0" applyNumberFormat="1" applyFont="1" applyBorder="1" applyAlignment="1">
      <alignment horizontal="center"/>
    </xf>
    <xf numFmtId="0" fontId="20" fillId="0" borderId="24" xfId="0" applyFont="1" applyBorder="1" applyAlignment="1">
      <alignment horizontal="left"/>
    </xf>
    <xf numFmtId="0" fontId="22" fillId="0" borderId="11" xfId="0" applyFont="1" applyBorder="1" applyAlignment="1">
      <alignment horizontal="left"/>
    </xf>
    <xf numFmtId="0" fontId="22" fillId="0" borderId="0" xfId="0" applyFont="1"/>
    <xf numFmtId="0" fontId="22" fillId="0" borderId="0" xfId="0" applyFont="1" applyAlignment="1">
      <alignment horizontal="center"/>
    </xf>
    <xf numFmtId="0" fontId="22" fillId="0" borderId="5" xfId="0" applyFont="1" applyBorder="1" applyAlignment="1">
      <alignment horizontal="left"/>
    </xf>
    <xf numFmtId="0" fontId="55" fillId="0" borderId="0" xfId="0" applyFont="1" applyAlignment="1">
      <alignment horizontal="center"/>
    </xf>
    <xf numFmtId="0" fontId="55" fillId="0" borderId="0" xfId="0" applyFont="1" applyAlignment="1">
      <alignment horizontal="left"/>
    </xf>
    <xf numFmtId="0" fontId="46" fillId="53" borderId="11" xfId="0" applyFont="1" applyFill="1" applyBorder="1"/>
    <xf numFmtId="0" fontId="58" fillId="53" borderId="12" xfId="0" applyFont="1" applyFill="1" applyBorder="1" applyAlignment="1">
      <alignment horizontal="center"/>
    </xf>
    <xf numFmtId="0" fontId="19" fillId="37" borderId="5" xfId="0" applyFont="1" applyFill="1" applyBorder="1" applyAlignment="1">
      <alignment horizontal="left"/>
    </xf>
    <xf numFmtId="0" fontId="19" fillId="37" borderId="11" xfId="0" applyFont="1" applyFill="1" applyBorder="1" applyAlignment="1">
      <alignment horizontal="left"/>
    </xf>
    <xf numFmtId="0" fontId="22" fillId="0" borderId="5" xfId="0" applyFont="1" applyBorder="1" applyAlignment="1">
      <alignment wrapText="1"/>
    </xf>
    <xf numFmtId="0" fontId="47" fillId="0" borderId="5" xfId="0" applyFont="1" applyBorder="1"/>
    <xf numFmtId="0" fontId="45" fillId="0" borderId="5" xfId="0" applyFont="1" applyBorder="1"/>
    <xf numFmtId="167" fontId="45" fillId="0" borderId="5" xfId="0" applyNumberFormat="1" applyFont="1" applyBorder="1" applyAlignment="1">
      <alignment horizontal="center"/>
    </xf>
    <xf numFmtId="0" fontId="47" fillId="0" borderId="11" xfId="0" applyFont="1" applyBorder="1" applyAlignment="1">
      <alignment horizontal="left"/>
    </xf>
    <xf numFmtId="0" fontId="45" fillId="0" borderId="5" xfId="0" applyFont="1" applyBorder="1" applyAlignment="1">
      <alignment wrapText="1"/>
    </xf>
    <xf numFmtId="165" fontId="45" fillId="0" borderId="5" xfId="0" applyNumberFormat="1" applyFont="1" applyBorder="1" applyAlignment="1">
      <alignment horizontal="center"/>
    </xf>
    <xf numFmtId="0" fontId="45" fillId="0" borderId="11" xfId="0" applyFont="1" applyBorder="1" applyAlignment="1">
      <alignment horizontal="left"/>
    </xf>
    <xf numFmtId="0" fontId="20" fillId="0" borderId="19" xfId="0" applyFont="1" applyBorder="1" applyAlignment="1">
      <alignment vertical="center" wrapText="1"/>
    </xf>
    <xf numFmtId="0" fontId="20" fillId="54" borderId="5" xfId="0" applyFont="1" applyFill="1" applyBorder="1" applyAlignment="1">
      <alignment horizontal="center" vertical="center"/>
    </xf>
    <xf numFmtId="0" fontId="20" fillId="55" borderId="24" xfId="0" applyFont="1" applyFill="1" applyBorder="1" applyAlignment="1">
      <alignment horizontal="center"/>
    </xf>
    <xf numFmtId="0" fontId="59" fillId="0" borderId="5" xfId="0" applyFont="1" applyBorder="1" applyAlignment="1">
      <alignment horizontal="left" vertical="center" wrapText="1"/>
    </xf>
    <xf numFmtId="0" fontId="59" fillId="0" borderId="19" xfId="0" applyFont="1" applyBorder="1" applyAlignment="1">
      <alignment vertical="center" wrapText="1"/>
    </xf>
    <xf numFmtId="0" fontId="59" fillId="55" borderId="24" xfId="0" applyFont="1" applyFill="1" applyBorder="1" applyAlignment="1">
      <alignment horizontal="center"/>
    </xf>
    <xf numFmtId="0" fontId="0" fillId="32" borderId="0" xfId="0" applyFill="1" applyAlignment="1">
      <alignment horizontal="center"/>
    </xf>
    <xf numFmtId="0" fontId="17" fillId="56" borderId="0" xfId="0" applyFont="1" applyFill="1" applyAlignment="1">
      <alignment horizontal="center"/>
    </xf>
    <xf numFmtId="0" fontId="18" fillId="0" borderId="0" xfId="0" applyFont="1" applyAlignment="1">
      <alignment horizontal="center"/>
    </xf>
    <xf numFmtId="0" fontId="17" fillId="31" borderId="0" xfId="0" applyFont="1" applyFill="1" applyAlignment="1">
      <alignment horizontal="center" wrapText="1"/>
    </xf>
    <xf numFmtId="0" fontId="88" fillId="0" borderId="30" xfId="0" applyFont="1" applyBorder="1" applyAlignment="1">
      <alignment horizontal="center" vertical="center" wrapText="1"/>
    </xf>
    <xf numFmtId="0" fontId="93" fillId="0" borderId="7" xfId="0" applyFont="1" applyBorder="1" applyAlignment="1">
      <alignment horizontal="center" vertical="center" wrapText="1"/>
    </xf>
    <xf numFmtId="0" fontId="81" fillId="0" borderId="7" xfId="0" applyFont="1" applyBorder="1" applyAlignment="1">
      <alignment horizontal="center" vertical="center" wrapText="1"/>
    </xf>
    <xf numFmtId="0" fontId="81" fillId="0" borderId="7" xfId="0" applyFont="1" applyBorder="1" applyAlignment="1">
      <alignment horizontal="left" vertical="center" wrapText="1" indent="1"/>
    </xf>
    <xf numFmtId="165" fontId="0" fillId="0" borderId="7" xfId="0" applyNumberFormat="1" applyBorder="1" applyAlignment="1">
      <alignment horizontal="center" vertical="center"/>
    </xf>
    <xf numFmtId="2" fontId="0" fillId="0" borderId="7" xfId="0" applyNumberFormat="1" applyBorder="1" applyAlignment="1">
      <alignment horizontal="center" vertical="center"/>
    </xf>
    <xf numFmtId="0" fontId="81" fillId="0" borderId="0" xfId="0" applyFont="1" applyAlignment="1">
      <alignment horizontal="center" vertical="center" wrapText="1"/>
    </xf>
    <xf numFmtId="0" fontId="100" fillId="0" borderId="0" xfId="0" applyFont="1" applyAlignment="1">
      <alignment horizontal="left" vertical="center"/>
    </xf>
    <xf numFmtId="0" fontId="101" fillId="0" borderId="31" xfId="0" applyFont="1" applyBorder="1" applyAlignment="1">
      <alignment horizontal="center" vertical="center" wrapText="1"/>
    </xf>
    <xf numFmtId="0" fontId="101" fillId="0" borderId="29" xfId="0" applyFont="1" applyBorder="1" applyAlignment="1">
      <alignment horizontal="center" vertical="center" wrapText="1"/>
    </xf>
    <xf numFmtId="0" fontId="101" fillId="0" borderId="36" xfId="0" applyFont="1" applyBorder="1" applyAlignment="1">
      <alignment horizontal="center" vertical="center" wrapText="1"/>
    </xf>
    <xf numFmtId="0" fontId="101" fillId="0" borderId="28" xfId="0" applyFont="1" applyBorder="1" applyAlignment="1">
      <alignment horizontal="center" vertical="center" wrapText="1"/>
    </xf>
    <xf numFmtId="0" fontId="104" fillId="0" borderId="29" xfId="0" applyFont="1" applyBorder="1" applyAlignment="1">
      <alignment horizontal="justify" vertical="center" wrapText="1"/>
    </xf>
    <xf numFmtId="0" fontId="104" fillId="0" borderId="29" xfId="0" applyFont="1" applyBorder="1" applyAlignment="1">
      <alignment horizontal="center" vertical="center" wrapText="1"/>
    </xf>
    <xf numFmtId="0" fontId="104" fillId="0" borderId="28" xfId="0" applyFont="1" applyBorder="1" applyAlignment="1">
      <alignment horizontal="center" vertical="center" wrapText="1"/>
    </xf>
    <xf numFmtId="0" fontId="104" fillId="0" borderId="0" xfId="0" applyFont="1" applyAlignment="1">
      <alignment horizontal="justify" vertical="center"/>
    </xf>
    <xf numFmtId="0" fontId="104" fillId="0" borderId="26" xfId="0" applyFont="1" applyBorder="1" applyAlignment="1">
      <alignment horizontal="justify" vertical="center" wrapText="1"/>
    </xf>
    <xf numFmtId="0" fontId="104" fillId="0" borderId="26" xfId="0" applyFont="1" applyBorder="1" applyAlignment="1">
      <alignment horizontal="center" vertical="center" wrapText="1"/>
    </xf>
    <xf numFmtId="0" fontId="104" fillId="0" borderId="27" xfId="0" applyFont="1" applyBorder="1" applyAlignment="1">
      <alignment horizontal="center" vertical="center" wrapText="1"/>
    </xf>
    <xf numFmtId="0" fontId="104" fillId="0" borderId="29" xfId="0" applyFont="1" applyBorder="1" applyAlignment="1">
      <alignment horizontal="left" vertical="center" wrapText="1"/>
    </xf>
    <xf numFmtId="0" fontId="104" fillId="0" borderId="26" xfId="0" applyFont="1" applyBorder="1" applyAlignment="1">
      <alignment horizontal="left" vertical="center" wrapText="1"/>
    </xf>
    <xf numFmtId="0" fontId="104" fillId="0" borderId="30" xfId="0" applyFont="1" applyBorder="1" applyAlignment="1">
      <alignment horizontal="center" vertical="center" wrapText="1"/>
    </xf>
    <xf numFmtId="0" fontId="104" fillId="0" borderId="0" xfId="0" applyFont="1" applyAlignment="1">
      <alignment horizontal="center" vertical="center" wrapText="1"/>
    </xf>
    <xf numFmtId="0" fontId="104" fillId="0" borderId="30" xfId="0" applyFont="1" applyBorder="1" applyAlignment="1">
      <alignment horizontal="left" vertical="center" wrapText="1"/>
    </xf>
    <xf numFmtId="0" fontId="105" fillId="0" borderId="0" xfId="0" applyFont="1" applyAlignment="1">
      <alignment vertical="center"/>
    </xf>
    <xf numFmtId="0" fontId="106" fillId="0" borderId="36" xfId="0" applyFont="1" applyBorder="1" applyAlignment="1">
      <alignment horizontal="center" vertical="center" wrapText="1"/>
    </xf>
    <xf numFmtId="0" fontId="106" fillId="0" borderId="28" xfId="0" applyFont="1" applyBorder="1" applyAlignment="1">
      <alignment horizontal="center" vertical="center" wrapText="1"/>
    </xf>
    <xf numFmtId="0" fontId="109" fillId="33" borderId="28" xfId="0" applyFont="1" applyFill="1" applyBorder="1" applyAlignment="1">
      <alignment horizontal="center" vertical="center" wrapText="1"/>
    </xf>
    <xf numFmtId="0" fontId="104" fillId="33" borderId="27" xfId="0" applyFont="1" applyFill="1" applyBorder="1" applyAlignment="1">
      <alignment horizontal="center" vertical="center" wrapText="1"/>
    </xf>
    <xf numFmtId="0" fontId="104" fillId="33" borderId="28" xfId="0" applyFont="1" applyFill="1" applyBorder="1" applyAlignment="1">
      <alignment horizontal="center" vertical="center" wrapText="1"/>
    </xf>
    <xf numFmtId="0" fontId="104" fillId="33" borderId="0" xfId="0" applyFont="1" applyFill="1" applyAlignment="1">
      <alignment horizontal="center" vertical="center" wrapText="1"/>
    </xf>
    <xf numFmtId="0" fontId="109" fillId="33" borderId="27" xfId="0" applyFont="1" applyFill="1" applyBorder="1" applyAlignment="1">
      <alignment horizontal="center" vertical="center" wrapText="1"/>
    </xf>
    <xf numFmtId="0" fontId="101" fillId="0" borderId="29" xfId="0" applyFont="1" applyBorder="1" applyAlignment="1">
      <alignment horizontal="left" vertical="center" wrapText="1"/>
    </xf>
    <xf numFmtId="0" fontId="88" fillId="0" borderId="29" xfId="0" applyFont="1" applyBorder="1" applyAlignment="1">
      <alignment horizontal="left" vertical="center" wrapText="1"/>
    </xf>
    <xf numFmtId="0" fontId="88" fillId="0" borderId="28" xfId="0" applyFont="1" applyBorder="1" applyAlignment="1">
      <alignment horizontal="left" vertical="center" wrapText="1"/>
    </xf>
    <xf numFmtId="0" fontId="104" fillId="0" borderId="31" xfId="0" applyFont="1" applyBorder="1" applyAlignment="1">
      <alignment horizontal="justify" vertical="center" wrapText="1"/>
    </xf>
    <xf numFmtId="0" fontId="19" fillId="37" borderId="5" xfId="0" applyFont="1" applyFill="1" applyBorder="1" applyAlignment="1">
      <alignment wrapText="1"/>
    </xf>
    <xf numFmtId="0" fontId="20" fillId="0" borderId="12" xfId="0" applyFont="1" applyBorder="1" applyAlignment="1">
      <alignment wrapText="1"/>
    </xf>
    <xf numFmtId="0" fontId="20" fillId="0" borderId="0" xfId="0" applyFont="1" applyAlignment="1">
      <alignment wrapText="1"/>
    </xf>
    <xf numFmtId="0" fontId="59" fillId="0" borderId="5" xfId="0" applyFont="1" applyBorder="1" applyAlignment="1">
      <alignment wrapText="1"/>
    </xf>
    <xf numFmtId="0" fontId="22" fillId="0" borderId="11" xfId="3" applyFont="1" applyBorder="1" applyAlignment="1">
      <alignment wrapText="1"/>
    </xf>
    <xf numFmtId="0" fontId="7" fillId="0" borderId="0" xfId="2" applyAlignment="1">
      <alignment wrapText="1"/>
    </xf>
    <xf numFmtId="0" fontId="0" fillId="0" borderId="10" xfId="0" applyBorder="1" applyAlignment="1">
      <alignment wrapText="1"/>
    </xf>
    <xf numFmtId="0" fontId="19" fillId="37" borderId="20" xfId="0" applyFont="1" applyFill="1" applyBorder="1" applyAlignment="1">
      <alignment horizontal="left" wrapText="1"/>
    </xf>
    <xf numFmtId="0" fontId="22" fillId="0" borderId="0" xfId="0" applyFont="1" applyAlignment="1">
      <alignment wrapText="1"/>
    </xf>
    <xf numFmtId="0" fontId="55" fillId="0" borderId="0" xfId="0" applyFont="1" applyAlignment="1">
      <alignment wrapText="1"/>
    </xf>
    <xf numFmtId="0" fontId="58" fillId="53" borderId="18" xfId="0" applyFont="1" applyFill="1" applyBorder="1" applyAlignment="1">
      <alignment wrapText="1"/>
    </xf>
    <xf numFmtId="0" fontId="63" fillId="53" borderId="18" xfId="0" applyFont="1" applyFill="1" applyBorder="1" applyAlignment="1">
      <alignment wrapText="1"/>
    </xf>
    <xf numFmtId="0" fontId="62" fillId="37" borderId="20" xfId="0" applyFont="1" applyFill="1" applyBorder="1" applyAlignment="1">
      <alignment wrapText="1"/>
    </xf>
    <xf numFmtId="0" fontId="63" fillId="0" borderId="5" xfId="0" applyFont="1" applyBorder="1" applyAlignment="1">
      <alignment wrapText="1"/>
    </xf>
    <xf numFmtId="2" fontId="63" fillId="0" borderId="5" xfId="0" applyNumberFormat="1" applyFont="1" applyBorder="1" applyAlignment="1">
      <alignment wrapText="1"/>
    </xf>
    <xf numFmtId="2" fontId="61" fillId="49" borderId="0" xfId="0" applyNumberFormat="1" applyFont="1" applyFill="1" applyAlignment="1">
      <alignment wrapText="1"/>
    </xf>
    <xf numFmtId="0" fontId="20" fillId="54" borderId="5" xfId="0" applyFont="1" applyFill="1" applyBorder="1" applyAlignment="1">
      <alignment horizontal="center" vertical="center" wrapText="1"/>
    </xf>
    <xf numFmtId="0" fontId="111" fillId="33" borderId="0" xfId="0" applyFont="1" applyFill="1" applyAlignment="1">
      <alignment vertical="center" wrapText="1"/>
    </xf>
    <xf numFmtId="0" fontId="0" fillId="33" borderId="0" xfId="0" applyFill="1" applyAlignment="1">
      <alignment vertical="center" wrapText="1"/>
    </xf>
    <xf numFmtId="0" fontId="0" fillId="33" borderId="0" xfId="0" applyFill="1" applyAlignment="1">
      <alignment wrapText="1"/>
    </xf>
    <xf numFmtId="0" fontId="0" fillId="33" borderId="0" xfId="0" applyFill="1" applyAlignment="1">
      <alignment horizontal="left" vertical="center" wrapText="1"/>
    </xf>
    <xf numFmtId="0" fontId="104" fillId="0" borderId="0" xfId="0" applyFont="1" applyAlignment="1">
      <alignment horizontal="justify" vertical="center" wrapText="1"/>
    </xf>
    <xf numFmtId="0" fontId="82" fillId="0" borderId="27" xfId="0" applyFont="1" applyBorder="1" applyAlignment="1">
      <alignment vertical="center" wrapText="1"/>
    </xf>
    <xf numFmtId="0" fontId="9" fillId="56" borderId="0" xfId="0" applyFont="1" applyFill="1" applyAlignment="1">
      <alignment horizontal="center"/>
    </xf>
    <xf numFmtId="167" fontId="0" fillId="0" borderId="7" xfId="0" applyNumberFormat="1" applyBorder="1" applyAlignment="1">
      <alignment horizontal="center" vertical="center"/>
    </xf>
    <xf numFmtId="0" fontId="81" fillId="0" borderId="7" xfId="0" applyFont="1" applyBorder="1" applyAlignment="1">
      <alignment horizontal="left" vertical="center" wrapText="1"/>
    </xf>
    <xf numFmtId="0" fontId="81" fillId="57" borderId="7" xfId="0" applyFont="1" applyFill="1" applyBorder="1" applyAlignment="1">
      <alignment horizontal="left" vertical="center" wrapText="1"/>
    </xf>
    <xf numFmtId="0" fontId="81" fillId="33" borderId="7" xfId="0" applyFont="1" applyFill="1" applyBorder="1" applyAlignment="1">
      <alignment horizontal="center" vertical="center" wrapText="1"/>
    </xf>
    <xf numFmtId="0" fontId="0" fillId="0" borderId="0" xfId="0" quotePrefix="1" applyAlignment="1">
      <alignment horizontal="center"/>
    </xf>
    <xf numFmtId="0" fontId="0" fillId="0" borderId="0" xfId="0" quotePrefix="1"/>
    <xf numFmtId="0" fontId="82" fillId="0" borderId="7" xfId="0" applyFont="1" applyBorder="1" applyAlignment="1">
      <alignment horizontal="center" vertical="center" wrapText="1"/>
    </xf>
    <xf numFmtId="0" fontId="0" fillId="0" borderId="7" xfId="0" applyBorder="1"/>
    <xf numFmtId="0" fontId="82" fillId="0" borderId="7" xfId="0" applyFont="1" applyBorder="1" applyAlignment="1">
      <alignment vertical="center" wrapText="1"/>
    </xf>
    <xf numFmtId="0" fontId="110" fillId="0" borderId="7" xfId="0" applyFont="1" applyBorder="1" applyAlignment="1">
      <alignment horizontal="center" vertical="center" wrapText="1"/>
    </xf>
    <xf numFmtId="0" fontId="88" fillId="0" borderId="7" xfId="0" applyFont="1" applyBorder="1" applyAlignment="1">
      <alignment horizontal="center" vertical="center" wrapText="1"/>
    </xf>
    <xf numFmtId="0" fontId="84" fillId="0" borderId="7" xfId="0" applyFont="1" applyBorder="1" applyAlignment="1">
      <alignment horizontal="center" vertical="center" wrapText="1"/>
    </xf>
    <xf numFmtId="0" fontId="98" fillId="0" borderId="7" xfId="0" applyFont="1" applyBorder="1" applyAlignment="1">
      <alignment horizontal="left" vertical="center" wrapText="1" indent="2"/>
    </xf>
    <xf numFmtId="0" fontId="92" fillId="0" borderId="7" xfId="0" applyFont="1" applyBorder="1" applyAlignment="1">
      <alignment horizontal="left" vertical="center" wrapText="1" indent="2"/>
    </xf>
    <xf numFmtId="0" fontId="96" fillId="0" borderId="7" xfId="0" applyFont="1" applyBorder="1" applyAlignment="1">
      <alignment horizontal="center" vertical="center" wrapText="1"/>
    </xf>
    <xf numFmtId="2" fontId="81" fillId="0" borderId="7" xfId="0" applyNumberFormat="1" applyFont="1" applyBorder="1" applyAlignment="1">
      <alignment horizontal="center" vertical="center" wrapText="1"/>
    </xf>
    <xf numFmtId="0" fontId="0" fillId="0" borderId="7" xfId="0" applyBorder="1" applyAlignment="1">
      <alignment horizontal="center" vertical="center" wrapText="1"/>
    </xf>
    <xf numFmtId="0" fontId="99" fillId="0" borderId="7" xfId="0" applyFont="1" applyBorder="1" applyAlignment="1">
      <alignment horizontal="center" vertical="center" wrapText="1"/>
    </xf>
    <xf numFmtId="0" fontId="99" fillId="57" borderId="7" xfId="0" applyFont="1" applyFill="1" applyBorder="1" applyAlignment="1">
      <alignment horizontal="center" vertical="center" wrapText="1"/>
    </xf>
    <xf numFmtId="0" fontId="81" fillId="50" borderId="7" xfId="0" applyFont="1" applyFill="1" applyBorder="1" applyAlignment="1">
      <alignment vertical="top" wrapText="1"/>
    </xf>
    <xf numFmtId="0" fontId="81" fillId="56" borderId="7" xfId="0" applyFont="1" applyFill="1" applyBorder="1" applyAlignment="1">
      <alignment horizontal="center" vertical="top" wrapText="1"/>
    </xf>
    <xf numFmtId="0" fontId="81" fillId="36" borderId="7" xfId="0" applyFont="1" applyFill="1" applyBorder="1" applyAlignment="1">
      <alignment horizontal="center" vertical="center" wrapText="1"/>
    </xf>
    <xf numFmtId="0" fontId="6" fillId="0" borderId="7" xfId="0" applyFont="1" applyBorder="1" applyAlignment="1">
      <alignment horizontal="center" vertical="center"/>
    </xf>
    <xf numFmtId="166" fontId="112" fillId="46" borderId="7" xfId="0" applyNumberFormat="1" applyFont="1" applyFill="1" applyBorder="1" applyAlignment="1">
      <alignment horizontal="center" vertical="center" wrapText="1"/>
    </xf>
    <xf numFmtId="0" fontId="112" fillId="46" borderId="7" xfId="0" applyFont="1" applyFill="1" applyBorder="1" applyAlignment="1">
      <alignment horizontal="center" vertical="center" wrapText="1"/>
    </xf>
    <xf numFmtId="0" fontId="0" fillId="36" borderId="0" xfId="0" applyFill="1"/>
    <xf numFmtId="0" fontId="81" fillId="33" borderId="7" xfId="0" applyFont="1" applyFill="1" applyBorder="1" applyAlignment="1">
      <alignment horizontal="left" vertical="center" wrapText="1"/>
    </xf>
    <xf numFmtId="0" fontId="81" fillId="0" borderId="39" xfId="0" applyFont="1" applyBorder="1" applyAlignment="1">
      <alignment horizontal="left" vertical="center" wrapText="1"/>
    </xf>
    <xf numFmtId="0" fontId="93" fillId="0" borderId="9" xfId="0" applyFont="1" applyBorder="1" applyAlignment="1">
      <alignment horizontal="center" vertical="center" wrapText="1"/>
    </xf>
    <xf numFmtId="0" fontId="0" fillId="35" borderId="39" xfId="0" applyFill="1" applyBorder="1"/>
    <xf numFmtId="0" fontId="82" fillId="35" borderId="9" xfId="0" applyFont="1" applyFill="1" applyBorder="1" applyAlignment="1">
      <alignment horizontal="center" vertical="center" wrapText="1"/>
    </xf>
    <xf numFmtId="0" fontId="0" fillId="36" borderId="7" xfId="0" applyFill="1" applyBorder="1" applyAlignment="1">
      <alignment vertical="center"/>
    </xf>
    <xf numFmtId="0" fontId="0" fillId="35" borderId="0" xfId="0" applyFill="1"/>
    <xf numFmtId="0" fontId="6" fillId="35" borderId="0" xfId="0" applyFont="1" applyFill="1"/>
    <xf numFmtId="2" fontId="0" fillId="0" borderId="0" xfId="0" applyNumberFormat="1" applyAlignment="1">
      <alignment horizontal="center" vertical="center"/>
    </xf>
    <xf numFmtId="0" fontId="15" fillId="59" borderId="7" xfId="0" applyFont="1" applyFill="1" applyBorder="1" applyAlignment="1">
      <alignment vertical="center" wrapText="1"/>
    </xf>
    <xf numFmtId="0" fontId="15" fillId="59" borderId="7" xfId="0" applyFont="1" applyFill="1" applyBorder="1" applyAlignment="1">
      <alignment vertical="center"/>
    </xf>
    <xf numFmtId="0" fontId="6" fillId="35" borderId="7" xfId="0" applyFont="1" applyFill="1" applyBorder="1"/>
    <xf numFmtId="0" fontId="6" fillId="35" borderId="7" xfId="0" applyFont="1" applyFill="1" applyBorder="1" applyAlignment="1">
      <alignment vertical="top"/>
    </xf>
    <xf numFmtId="0" fontId="15" fillId="35" borderId="7" xfId="0" applyFont="1" applyFill="1" applyBorder="1" applyAlignment="1">
      <alignment vertical="top"/>
    </xf>
    <xf numFmtId="3" fontId="0" fillId="35" borderId="7" xfId="0" applyNumberFormat="1" applyFill="1" applyBorder="1" applyAlignment="1" applyProtection="1">
      <alignment vertical="top"/>
      <protection locked="0"/>
    </xf>
    <xf numFmtId="0" fontId="17" fillId="35" borderId="0" xfId="0" applyFont="1" applyFill="1" applyAlignment="1">
      <alignment horizontal="left" vertical="center"/>
    </xf>
    <xf numFmtId="0" fontId="6" fillId="35" borderId="0" xfId="0" applyFont="1" applyFill="1" applyAlignment="1">
      <alignment horizontal="left" vertical="top" wrapText="1"/>
    </xf>
    <xf numFmtId="0" fontId="15" fillId="35" borderId="7" xfId="0" applyFont="1" applyFill="1" applyBorder="1" applyAlignment="1">
      <alignment horizontal="left" vertical="top"/>
    </xf>
    <xf numFmtId="0" fontId="15" fillId="35" borderId="7" xfId="0" applyFont="1" applyFill="1" applyBorder="1" applyAlignment="1">
      <alignment horizontal="left" vertical="top" wrapText="1"/>
    </xf>
    <xf numFmtId="0" fontId="15" fillId="35" borderId="0" xfId="0" applyFont="1" applyFill="1" applyAlignment="1">
      <alignment horizontal="left" vertical="top" wrapText="1"/>
    </xf>
    <xf numFmtId="0" fontId="0" fillId="36" borderId="7" xfId="0" applyFill="1" applyBorder="1" applyAlignment="1">
      <alignment vertical="top"/>
    </xf>
    <xf numFmtId="0" fontId="13" fillId="58" borderId="7" xfId="0" applyFont="1" applyFill="1" applyBorder="1" applyAlignment="1" applyProtection="1">
      <alignment horizontal="left" vertical="top" wrapText="1"/>
      <protection locked="0"/>
    </xf>
    <xf numFmtId="2" fontId="0" fillId="0" borderId="7" xfId="0" applyNumberFormat="1" applyBorder="1" applyAlignment="1">
      <alignment vertical="top"/>
    </xf>
    <xf numFmtId="2" fontId="0" fillId="35" borderId="7" xfId="0" applyNumberFormat="1" applyFill="1" applyBorder="1" applyAlignment="1">
      <alignment vertical="top"/>
    </xf>
    <xf numFmtId="2" fontId="15" fillId="50" borderId="7" xfId="0" applyNumberFormat="1" applyFont="1" applyFill="1" applyBorder="1" applyAlignment="1">
      <alignment vertical="top" wrapText="1"/>
    </xf>
    <xf numFmtId="0" fontId="0" fillId="35" borderId="7" xfId="0" applyFill="1" applyBorder="1" applyAlignment="1">
      <alignment vertical="top"/>
    </xf>
    <xf numFmtId="0" fontId="0" fillId="35" borderId="7" xfId="0" applyFill="1" applyBorder="1"/>
    <xf numFmtId="0" fontId="0" fillId="35" borderId="0" xfId="0" applyFill="1" applyAlignment="1">
      <alignment vertical="top"/>
    </xf>
    <xf numFmtId="0" fontId="15" fillId="0" borderId="7" xfId="0" applyFont="1" applyBorder="1"/>
    <xf numFmtId="0" fontId="1" fillId="35" borderId="7" xfId="0" applyFont="1" applyFill="1" applyBorder="1" applyAlignment="1">
      <alignment horizontal="left" vertical="top" wrapText="1"/>
    </xf>
    <xf numFmtId="0" fontId="0" fillId="35" borderId="7" xfId="0" applyFill="1" applyBorder="1" applyAlignment="1">
      <alignment horizontal="center" vertical="top"/>
    </xf>
    <xf numFmtId="0" fontId="1" fillId="35" borderId="7" xfId="0" applyFont="1" applyFill="1" applyBorder="1"/>
    <xf numFmtId="0" fontId="1" fillId="35" borderId="7" xfId="0" applyFont="1" applyFill="1" applyBorder="1" applyAlignment="1">
      <alignment wrapText="1"/>
    </xf>
    <xf numFmtId="2" fontId="0" fillId="35" borderId="7" xfId="0" applyNumberFormat="1" applyFill="1" applyBorder="1"/>
    <xf numFmtId="0" fontId="0" fillId="36" borderId="7" xfId="0" applyFill="1" applyBorder="1" applyAlignment="1">
      <alignment horizontal="right" vertical="center"/>
    </xf>
    <xf numFmtId="0" fontId="0" fillId="35" borderId="0" xfId="0" applyFill="1" applyAlignment="1">
      <alignment horizontal="left" vertical="center" wrapText="1"/>
    </xf>
    <xf numFmtId="0" fontId="119" fillId="35" borderId="0" xfId="0" applyFont="1" applyFill="1"/>
    <xf numFmtId="0" fontId="17" fillId="35" borderId="0" xfId="0" applyFont="1" applyFill="1"/>
    <xf numFmtId="0" fontId="120" fillId="35" borderId="0" xfId="2" applyFont="1" applyFill="1"/>
    <xf numFmtId="0" fontId="121" fillId="35" borderId="0" xfId="0" applyFont="1" applyFill="1"/>
    <xf numFmtId="2" fontId="123" fillId="59" borderId="0" xfId="0" applyNumberFormat="1" applyFont="1" applyFill="1"/>
    <xf numFmtId="0" fontId="124" fillId="59" borderId="12" xfId="0" applyFont="1" applyFill="1" applyBorder="1"/>
    <xf numFmtId="2" fontId="0" fillId="35" borderId="7" xfId="0" applyNumberFormat="1" applyFill="1" applyBorder="1" applyAlignment="1">
      <alignment horizontal="right" vertical="top"/>
    </xf>
    <xf numFmtId="2" fontId="14" fillId="35" borderId="7" xfId="1" applyNumberFormat="1" applyFont="1" applyFill="1" applyBorder="1" applyAlignment="1">
      <alignment horizontal="right" vertical="top"/>
    </xf>
    <xf numFmtId="0" fontId="0" fillId="35" borderId="7" xfId="0" applyFill="1" applyBorder="1" applyAlignment="1">
      <alignment horizontal="right" vertical="top"/>
    </xf>
    <xf numFmtId="2" fontId="15" fillId="50" borderId="7" xfId="0" applyNumberFormat="1" applyFont="1" applyFill="1" applyBorder="1" applyAlignment="1">
      <alignment horizontal="right" vertical="top" wrapText="1"/>
    </xf>
    <xf numFmtId="2" fontId="14" fillId="35" borderId="7" xfId="1" applyNumberFormat="1" applyFont="1" applyFill="1" applyBorder="1" applyAlignment="1">
      <alignment horizontal="right"/>
    </xf>
    <xf numFmtId="0" fontId="0" fillId="35" borderId="7" xfId="0" applyFill="1" applyBorder="1" applyAlignment="1">
      <alignment horizontal="right"/>
    </xf>
    <xf numFmtId="2" fontId="6" fillId="35" borderId="7" xfId="0" applyNumberFormat="1" applyFont="1" applyFill="1" applyBorder="1" applyAlignment="1" applyProtection="1">
      <alignment horizontal="center" vertical="top" wrapText="1"/>
      <protection locked="0"/>
    </xf>
    <xf numFmtId="0" fontId="0" fillId="36" borderId="7" xfId="0" applyFill="1" applyBorder="1" applyAlignment="1">
      <alignment vertical="top" wrapText="1"/>
    </xf>
    <xf numFmtId="0" fontId="14" fillId="36" borderId="7" xfId="0" applyFont="1" applyFill="1" applyBorder="1" applyAlignment="1">
      <alignment horizontal="center" vertical="center"/>
    </xf>
    <xf numFmtId="0" fontId="14" fillId="35" borderId="7" xfId="0" applyFont="1" applyFill="1" applyBorder="1" applyAlignment="1">
      <alignment horizontal="left" vertical="top" wrapText="1"/>
    </xf>
    <xf numFmtId="0" fontId="15" fillId="60" borderId="0" xfId="0" applyFont="1" applyFill="1" applyAlignment="1">
      <alignment horizontal="center" vertical="center"/>
    </xf>
    <xf numFmtId="0" fontId="127" fillId="0" borderId="0" xfId="0" applyFont="1" applyAlignment="1">
      <alignment wrapText="1"/>
    </xf>
    <xf numFmtId="0" fontId="127" fillId="33" borderId="0" xfId="0" applyFont="1" applyFill="1" applyAlignment="1">
      <alignment horizontal="left" vertical="center"/>
    </xf>
    <xf numFmtId="0" fontId="127" fillId="33" borderId="0" xfId="0" applyFont="1" applyFill="1" applyAlignment="1">
      <alignment horizontal="center" vertical="center"/>
    </xf>
    <xf numFmtId="0" fontId="14" fillId="33" borderId="0" xfId="0" applyFont="1" applyFill="1"/>
    <xf numFmtId="0" fontId="0" fillId="60" borderId="0" xfId="0" applyFill="1" applyAlignment="1">
      <alignment horizontal="center" vertical="center"/>
    </xf>
    <xf numFmtId="0" fontId="14" fillId="33" borderId="0" xfId="0" applyFont="1" applyFill="1" applyAlignment="1">
      <alignment horizontal="center" vertical="center"/>
    </xf>
    <xf numFmtId="0" fontId="14" fillId="60" borderId="0" xfId="0" applyFont="1" applyFill="1" applyAlignment="1">
      <alignment horizontal="center" vertical="center"/>
    </xf>
    <xf numFmtId="0" fontId="127" fillId="35" borderId="0" xfId="0" applyFont="1" applyFill="1" applyAlignment="1">
      <alignment horizontal="left" vertical="center"/>
    </xf>
    <xf numFmtId="0" fontId="127" fillId="35" borderId="0" xfId="0" applyFont="1" applyFill="1" applyAlignment="1">
      <alignment horizontal="center" vertical="center"/>
    </xf>
    <xf numFmtId="0" fontId="14" fillId="35" borderId="0" xfId="0" applyFont="1" applyFill="1" applyAlignment="1">
      <alignment horizontal="center" vertical="center"/>
    </xf>
    <xf numFmtId="0" fontId="127" fillId="33" borderId="0" xfId="0" applyFont="1" applyFill="1" applyAlignment="1">
      <alignment wrapText="1"/>
    </xf>
    <xf numFmtId="0" fontId="127" fillId="33" borderId="0" xfId="0" applyFont="1" applyFill="1" applyAlignment="1">
      <alignment horizontal="left" vertical="center" wrapText="1"/>
    </xf>
    <xf numFmtId="0" fontId="127" fillId="35" borderId="0" xfId="0" applyFont="1" applyFill="1" applyAlignment="1">
      <alignment wrapText="1"/>
    </xf>
    <xf numFmtId="0" fontId="127" fillId="33" borderId="0" xfId="0" applyFont="1" applyFill="1" applyAlignment="1">
      <alignment vertical="center"/>
    </xf>
    <xf numFmtId="0" fontId="127" fillId="33" borderId="0" xfId="0" applyFont="1" applyFill="1" applyAlignment="1">
      <alignment vertical="top"/>
    </xf>
    <xf numFmtId="0" fontId="127" fillId="60" borderId="0" xfId="0" applyFont="1" applyFill="1" applyAlignment="1">
      <alignment vertical="top"/>
    </xf>
    <xf numFmtId="0" fontId="126" fillId="35" borderId="0" xfId="0" applyFont="1" applyFill="1"/>
    <xf numFmtId="0" fontId="17" fillId="35" borderId="0" xfId="0" applyFont="1" applyFill="1" applyAlignment="1">
      <alignment vertical="top"/>
    </xf>
    <xf numFmtId="0" fontId="0" fillId="35" borderId="0" xfId="0" applyFill="1" applyAlignment="1">
      <alignment vertical="center"/>
    </xf>
    <xf numFmtId="0" fontId="7" fillId="35" borderId="0" xfId="2" applyFill="1" applyAlignment="1">
      <alignment vertical="center"/>
    </xf>
    <xf numFmtId="0" fontId="14" fillId="35" borderId="0" xfId="0" applyFont="1" applyFill="1" applyAlignment="1">
      <alignment vertical="center"/>
    </xf>
    <xf numFmtId="0" fontId="12" fillId="35" borderId="0" xfId="0" applyFont="1" applyFill="1" applyAlignment="1">
      <alignment vertical="top"/>
    </xf>
    <xf numFmtId="0" fontId="128" fillId="35" borderId="7" xfId="0" applyFont="1" applyFill="1" applyBorder="1"/>
    <xf numFmtId="0" fontId="13" fillId="58" borderId="7" xfId="0" applyFont="1" applyFill="1" applyBorder="1" applyAlignment="1" applyProtection="1">
      <alignment horizontal="left" vertical="center" wrapText="1"/>
      <protection locked="0"/>
    </xf>
    <xf numFmtId="0" fontId="7" fillId="35" borderId="0" xfId="2" applyFill="1"/>
    <xf numFmtId="0" fontId="122" fillId="35" borderId="0" xfId="0" applyFont="1" applyFill="1"/>
    <xf numFmtId="0" fontId="15" fillId="61" borderId="0" xfId="0" applyFont="1" applyFill="1" applyAlignment="1">
      <alignment horizontal="center" vertical="center"/>
    </xf>
    <xf numFmtId="0" fontId="15" fillId="61" borderId="0" xfId="0" applyFont="1" applyFill="1" applyAlignment="1">
      <alignment horizontal="center" vertical="center" wrapText="1"/>
    </xf>
    <xf numFmtId="0" fontId="118" fillId="60" borderId="0" xfId="0" applyFont="1" applyFill="1" applyAlignment="1">
      <alignment horizontal="center" vertical="center"/>
    </xf>
    <xf numFmtId="0" fontId="6" fillId="61" borderId="0" xfId="0" applyFont="1" applyFill="1" applyAlignment="1">
      <alignment horizontal="center" vertical="center"/>
    </xf>
    <xf numFmtId="0" fontId="128" fillId="61" borderId="0" xfId="0" applyFont="1" applyFill="1" applyAlignment="1">
      <alignment vertical="center"/>
    </xf>
    <xf numFmtId="0" fontId="15" fillId="59" borderId="0" xfId="0" applyFont="1" applyFill="1" applyAlignment="1">
      <alignment vertical="center" wrapText="1"/>
    </xf>
    <xf numFmtId="0" fontId="6" fillId="35" borderId="0" xfId="0" applyFont="1" applyFill="1" applyAlignment="1">
      <alignment horizontal="center" vertical="center"/>
    </xf>
    <xf numFmtId="0" fontId="131" fillId="35" borderId="0" xfId="0" applyFont="1" applyFill="1"/>
    <xf numFmtId="0" fontId="6" fillId="0" borderId="7" xfId="0" applyFont="1" applyBorder="1" applyAlignment="1">
      <alignment horizontal="left" vertical="center"/>
    </xf>
    <xf numFmtId="171" fontId="6" fillId="0" borderId="7" xfId="0" applyNumberFormat="1" applyFont="1" applyBorder="1" applyAlignment="1">
      <alignment horizontal="center" vertical="center"/>
    </xf>
    <xf numFmtId="0" fontId="129" fillId="0" borderId="0" xfId="0" applyFont="1"/>
    <xf numFmtId="0" fontId="17" fillId="35" borderId="0" xfId="0" applyFont="1" applyFill="1" applyAlignment="1">
      <alignment vertical="top" wrapText="1"/>
    </xf>
    <xf numFmtId="0" fontId="17" fillId="62" borderId="0" xfId="0" applyFont="1" applyFill="1"/>
    <xf numFmtId="0" fontId="0" fillId="62" borderId="0" xfId="0" applyFill="1"/>
    <xf numFmtId="0" fontId="15" fillId="35" borderId="7" xfId="0" applyFont="1" applyFill="1" applyBorder="1" applyAlignment="1">
      <alignment horizontal="left" vertical="center"/>
    </xf>
    <xf numFmtId="2" fontId="6" fillId="35" borderId="7" xfId="0" applyNumberFormat="1" applyFont="1" applyFill="1" applyBorder="1" applyAlignment="1" applyProtection="1">
      <alignment horizontal="center" vertical="center" wrapText="1"/>
      <protection locked="0"/>
    </xf>
    <xf numFmtId="0" fontId="15" fillId="35" borderId="0" xfId="0" applyFont="1" applyFill="1" applyAlignment="1">
      <alignment vertical="center"/>
    </xf>
    <xf numFmtId="2" fontId="0" fillId="0" borderId="7" xfId="0" applyNumberFormat="1" applyBorder="1"/>
    <xf numFmtId="0" fontId="15" fillId="63" borderId="7" xfId="0" applyFont="1" applyFill="1" applyBorder="1" applyAlignment="1">
      <alignment vertical="center" wrapText="1"/>
    </xf>
    <xf numFmtId="0" fontId="0" fillId="0" borderId="41" xfId="0" applyBorder="1"/>
    <xf numFmtId="0" fontId="6" fillId="0" borderId="0" xfId="0" applyFont="1" applyAlignment="1">
      <alignment horizontal="left" vertical="center"/>
    </xf>
    <xf numFmtId="0" fontId="0" fillId="36" borderId="7" xfId="0" applyFill="1" applyBorder="1" applyAlignment="1">
      <alignment horizontal="left" vertical="top" wrapText="1"/>
    </xf>
    <xf numFmtId="0" fontId="6" fillId="35" borderId="0" xfId="0" applyFont="1" applyFill="1" applyAlignment="1">
      <alignment vertical="center"/>
    </xf>
    <xf numFmtId="0" fontId="15" fillId="35" borderId="7" xfId="0" applyFont="1" applyFill="1" applyBorder="1" applyAlignment="1">
      <alignment horizontal="left" vertical="center" wrapText="1"/>
    </xf>
    <xf numFmtId="0" fontId="6" fillId="0" borderId="42" xfId="0" applyFont="1" applyBorder="1" applyAlignment="1">
      <alignment vertical="center"/>
    </xf>
    <xf numFmtId="0" fontId="131" fillId="35" borderId="0" xfId="0" applyFont="1" applyFill="1" applyAlignment="1">
      <alignment vertical="center"/>
    </xf>
    <xf numFmtId="0" fontId="17" fillId="35" borderId="0" xfId="0" applyFont="1" applyFill="1" applyAlignment="1">
      <alignment horizontal="left" wrapText="1"/>
    </xf>
    <xf numFmtId="0" fontId="0" fillId="36" borderId="0" xfId="0" applyFill="1" applyAlignment="1">
      <alignment vertical="center"/>
    </xf>
    <xf numFmtId="0" fontId="0" fillId="0" borderId="0" xfId="0"/>
    <xf numFmtId="0" fontId="13" fillId="58" borderId="0" xfId="0" applyFont="1" applyFill="1" applyAlignment="1" applyProtection="1">
      <alignment horizontal="left" vertical="center" wrapText="1"/>
      <protection locked="0"/>
    </xf>
    <xf numFmtId="0" fontId="0" fillId="35" borderId="0" xfId="0" applyFill="1" applyAlignment="1">
      <alignment wrapText="1"/>
    </xf>
    <xf numFmtId="0" fontId="0" fillId="35" borderId="0" xfId="0" applyFill="1" applyAlignment="1">
      <alignment horizontal="left" wrapText="1"/>
    </xf>
    <xf numFmtId="0" fontId="1" fillId="56" borderId="0" xfId="0" applyFont="1" applyFill="1" applyAlignment="1">
      <alignment horizontal="left" vertical="center" wrapText="1"/>
    </xf>
    <xf numFmtId="0" fontId="15" fillId="50" borderId="6" xfId="0" applyFont="1" applyFill="1" applyBorder="1" applyAlignment="1">
      <alignment horizontal="right" vertical="top" wrapText="1"/>
    </xf>
    <xf numFmtId="0" fontId="15" fillId="50" borderId="38" xfId="0" applyFont="1" applyFill="1" applyBorder="1" applyAlignment="1">
      <alignment horizontal="right" vertical="top" wrapText="1"/>
    </xf>
    <xf numFmtId="0" fontId="15" fillId="50" borderId="8" xfId="0" applyFont="1" applyFill="1" applyBorder="1" applyAlignment="1">
      <alignment horizontal="right" vertical="top" wrapText="1"/>
    </xf>
    <xf numFmtId="0" fontId="6" fillId="59" borderId="6" xfId="0" applyFont="1" applyFill="1" applyBorder="1" applyAlignment="1">
      <alignment horizontal="center" vertical="center"/>
    </xf>
    <xf numFmtId="0" fontId="6" fillId="59" borderId="38" xfId="0" applyFont="1" applyFill="1" applyBorder="1" applyAlignment="1">
      <alignment horizontal="center" vertical="center"/>
    </xf>
    <xf numFmtId="0" fontId="6" fillId="59" borderId="8" xfId="0" applyFont="1" applyFill="1" applyBorder="1" applyAlignment="1">
      <alignment horizontal="center" vertical="center"/>
    </xf>
    <xf numFmtId="0" fontId="0" fillId="36" borderId="6" xfId="0" applyFill="1" applyBorder="1" applyAlignment="1">
      <alignment horizontal="center" vertical="top"/>
    </xf>
    <xf numFmtId="0" fontId="0" fillId="36" borderId="8" xfId="0" applyFill="1" applyBorder="1" applyAlignment="1">
      <alignment horizontal="center" vertical="top"/>
    </xf>
    <xf numFmtId="0" fontId="0" fillId="36" borderId="6" xfId="0" applyFill="1" applyBorder="1" applyAlignment="1">
      <alignment horizontal="left" vertical="top" wrapText="1"/>
    </xf>
    <xf numFmtId="0" fontId="0" fillId="36" borderId="8" xfId="0" applyFill="1" applyBorder="1" applyAlignment="1">
      <alignment horizontal="left" vertical="top" wrapText="1"/>
    </xf>
    <xf numFmtId="0" fontId="6" fillId="35" borderId="0" xfId="0" applyFont="1" applyFill="1" applyAlignment="1">
      <alignment horizontal="left" vertical="top" wrapText="1"/>
    </xf>
    <xf numFmtId="0" fontId="6" fillId="56" borderId="0" xfId="0" applyFont="1" applyFill="1" applyAlignment="1">
      <alignment horizontal="left" vertical="center" wrapText="1"/>
    </xf>
    <xf numFmtId="0" fontId="0" fillId="56" borderId="0" xfId="0" applyFill="1" applyAlignment="1">
      <alignment horizontal="left" vertical="center" wrapText="1"/>
    </xf>
    <xf numFmtId="0" fontId="0" fillId="36" borderId="0" xfId="0" applyFill="1" applyAlignment="1">
      <alignment horizontal="left" vertical="center"/>
    </xf>
    <xf numFmtId="0" fontId="13" fillId="58" borderId="7" xfId="0" applyFont="1" applyFill="1" applyBorder="1" applyAlignment="1" applyProtection="1">
      <alignment horizontal="left" vertical="center" wrapText="1"/>
      <protection locked="0"/>
    </xf>
    <xf numFmtId="0" fontId="0" fillId="0" borderId="7" xfId="0" applyBorder="1"/>
    <xf numFmtId="0" fontId="121" fillId="35" borderId="0" xfId="0" applyFont="1" applyFill="1" applyAlignment="1">
      <alignment horizontal="left" vertical="top" wrapText="1"/>
    </xf>
    <xf numFmtId="0" fontId="6" fillId="61" borderId="0" xfId="0" applyFont="1" applyFill="1" applyAlignment="1">
      <alignment horizontal="center" vertical="center"/>
    </xf>
    <xf numFmtId="0" fontId="127" fillId="33" borderId="0" xfId="0" applyFont="1" applyFill="1" applyAlignment="1">
      <alignment horizontal="left" vertical="center" wrapText="1"/>
    </xf>
    <xf numFmtId="0" fontId="127" fillId="35" borderId="0" xfId="0" applyFont="1" applyFill="1" applyAlignment="1">
      <alignment horizontal="left" vertical="center" wrapText="1"/>
    </xf>
    <xf numFmtId="0" fontId="14" fillId="35" borderId="40" xfId="0" applyFont="1" applyFill="1" applyBorder="1" applyAlignment="1">
      <alignment vertical="center" wrapText="1"/>
    </xf>
    <xf numFmtId="0" fontId="1" fillId="0" borderId="0" xfId="0" applyFont="1" applyAlignment="1">
      <alignment vertical="center" wrapText="1"/>
    </xf>
    <xf numFmtId="0" fontId="1" fillId="0" borderId="40" xfId="0" applyFont="1" applyBorder="1" applyAlignment="1">
      <alignment vertical="center" wrapText="1"/>
    </xf>
    <xf numFmtId="0" fontId="0" fillId="36" borderId="6" xfId="0" applyFill="1" applyBorder="1" applyAlignment="1">
      <alignment horizontal="right" vertical="top"/>
    </xf>
    <xf numFmtId="0" fontId="0" fillId="36" borderId="8" xfId="0" applyFill="1" applyBorder="1" applyAlignment="1">
      <alignment horizontal="right" vertical="top"/>
    </xf>
    <xf numFmtId="0" fontId="17" fillId="35" borderId="0" xfId="0" applyFont="1" applyFill="1" applyAlignment="1">
      <alignment horizontal="left" vertical="top" wrapText="1"/>
    </xf>
    <xf numFmtId="0" fontId="17" fillId="35" borderId="0" xfId="0" applyFont="1" applyFill="1" applyAlignment="1">
      <alignment horizontal="left" vertical="center" wrapText="1"/>
    </xf>
    <xf numFmtId="0" fontId="6" fillId="0" borderId="0" xfId="0" applyFont="1" applyAlignment="1">
      <alignment horizontal="left" vertical="center" wrapText="1"/>
    </xf>
    <xf numFmtId="0" fontId="101" fillId="0" borderId="0" xfId="0" applyFont="1" applyAlignment="1">
      <alignment horizontal="left" vertical="center" wrapText="1"/>
    </xf>
    <xf numFmtId="0" fontId="104" fillId="0" borderId="0" xfId="0" applyFont="1" applyAlignment="1">
      <alignment horizontal="left" vertical="center" wrapText="1"/>
    </xf>
    <xf numFmtId="0" fontId="9" fillId="0" borderId="0" xfId="0" applyFont="1" applyAlignment="1">
      <alignment horizontal="left" vertical="top" wrapText="1"/>
    </xf>
    <xf numFmtId="0" fontId="0" fillId="0" borderId="0" xfId="0" applyAlignment="1">
      <alignment horizontal="left" vertical="top" wrapText="1"/>
    </xf>
    <xf numFmtId="0" fontId="82" fillId="0" borderId="6" xfId="0" applyFont="1" applyBorder="1" applyAlignment="1">
      <alignment horizontal="center" vertical="center" wrapText="1"/>
    </xf>
    <xf numFmtId="0" fontId="101" fillId="0" borderId="31" xfId="0" applyFont="1" applyBorder="1" applyAlignment="1">
      <alignment horizontal="center" vertical="center" wrapText="1"/>
    </xf>
    <xf numFmtId="0" fontId="101" fillId="0" borderId="29" xfId="0" applyFont="1" applyBorder="1" applyAlignment="1">
      <alignment horizontal="center" vertical="center" wrapText="1"/>
    </xf>
    <xf numFmtId="0" fontId="101" fillId="0" borderId="32" xfId="0" applyFont="1" applyBorder="1" applyAlignment="1">
      <alignment horizontal="center" vertical="center" wrapText="1"/>
    </xf>
    <xf numFmtId="0" fontId="101" fillId="0" borderId="33" xfId="0" applyFont="1" applyBorder="1" applyAlignment="1">
      <alignment horizontal="center" vertical="center" wrapText="1"/>
    </xf>
    <xf numFmtId="0" fontId="104" fillId="0" borderId="31" xfId="0" applyFont="1" applyBorder="1" applyAlignment="1">
      <alignment horizontal="left" vertical="center" wrapText="1"/>
    </xf>
    <xf numFmtId="0" fontId="104" fillId="0" borderId="30" xfId="0" applyFont="1" applyBorder="1" applyAlignment="1">
      <alignment horizontal="left" vertical="center" wrapText="1"/>
    </xf>
    <xf numFmtId="0" fontId="104" fillId="0" borderId="29" xfId="0" applyFont="1" applyBorder="1" applyAlignment="1">
      <alignment horizontal="left" vertical="center" wrapText="1"/>
    </xf>
    <xf numFmtId="0" fontId="104" fillId="0" borderId="37" xfId="0" applyFont="1" applyBorder="1" applyAlignment="1">
      <alignment horizontal="justify" vertical="center" wrapText="1"/>
    </xf>
    <xf numFmtId="0" fontId="104" fillId="0" borderId="27" xfId="0" applyFont="1" applyBorder="1" applyAlignment="1">
      <alignment horizontal="justify" vertical="center" wrapText="1"/>
    </xf>
    <xf numFmtId="0" fontId="88" fillId="0" borderId="32" xfId="0" applyFont="1" applyBorder="1" applyAlignment="1">
      <alignment horizontal="left" vertical="center" wrapText="1"/>
    </xf>
    <xf numFmtId="0" fontId="88" fillId="0" borderId="33" xfId="0" applyFont="1" applyBorder="1" applyAlignment="1">
      <alignment horizontal="left" vertical="center" wrapText="1"/>
    </xf>
    <xf numFmtId="0" fontId="88" fillId="0" borderId="34" xfId="0" applyFont="1" applyBorder="1" applyAlignment="1">
      <alignment horizontal="left" vertical="center" wrapText="1"/>
    </xf>
    <xf numFmtId="0" fontId="88" fillId="0" borderId="35" xfId="0" applyFont="1" applyBorder="1" applyAlignment="1">
      <alignment horizontal="left" vertical="center" wrapText="1"/>
    </xf>
    <xf numFmtId="0" fontId="104" fillId="0" borderId="37" xfId="0" applyFont="1" applyBorder="1" applyAlignment="1">
      <alignment horizontal="left" vertical="center" wrapText="1"/>
    </xf>
    <xf numFmtId="0" fontId="104" fillId="0" borderId="27" xfId="0" applyFont="1" applyBorder="1" applyAlignment="1">
      <alignment horizontal="left" vertical="center" wrapText="1"/>
    </xf>
    <xf numFmtId="0" fontId="81" fillId="0" borderId="7" xfId="0" applyFont="1" applyBorder="1" applyAlignment="1">
      <alignment horizontal="center" vertical="center" wrapText="1"/>
    </xf>
    <xf numFmtId="0" fontId="82" fillId="0" borderId="7" xfId="0" applyFont="1" applyBorder="1" applyAlignment="1">
      <alignment horizontal="center" vertical="center" wrapText="1"/>
    </xf>
    <xf numFmtId="0" fontId="82" fillId="0" borderId="8" xfId="0" applyFont="1" applyBorder="1" applyAlignment="1">
      <alignment horizontal="center" vertical="center" wrapText="1"/>
    </xf>
    <xf numFmtId="0" fontId="53" fillId="37" borderId="19" xfId="0" applyFont="1" applyFill="1" applyBorder="1" applyAlignment="1">
      <alignment horizontal="center" vertical="center"/>
    </xf>
    <xf numFmtId="0" fontId="53" fillId="37" borderId="20" xfId="0" applyFont="1" applyFill="1" applyBorder="1" applyAlignment="1">
      <alignment horizontal="center" vertical="center"/>
    </xf>
    <xf numFmtId="0" fontId="53" fillId="37" borderId="19" xfId="0" applyFont="1" applyFill="1" applyBorder="1" applyAlignment="1">
      <alignment horizontal="left" vertical="center" wrapText="1"/>
    </xf>
    <xf numFmtId="0" fontId="19" fillId="37" borderId="20" xfId="0" applyFont="1" applyFill="1" applyBorder="1" applyAlignment="1">
      <alignment horizontal="left" vertical="center" wrapText="1"/>
    </xf>
    <xf numFmtId="0" fontId="19" fillId="37" borderId="19" xfId="0" applyFont="1" applyFill="1" applyBorder="1" applyAlignment="1">
      <alignment horizontal="left" vertical="center"/>
    </xf>
    <xf numFmtId="0" fontId="19" fillId="37" borderId="20" xfId="0" applyFont="1" applyFill="1" applyBorder="1" applyAlignment="1">
      <alignment horizontal="left" vertical="center"/>
    </xf>
    <xf numFmtId="0" fontId="19" fillId="37" borderId="22" xfId="0" applyFont="1" applyFill="1" applyBorder="1" applyAlignment="1">
      <alignment horizontal="left" vertical="center" wrapText="1"/>
    </xf>
    <xf numFmtId="0" fontId="19" fillId="37" borderId="24" xfId="0" applyFont="1" applyFill="1" applyBorder="1" applyAlignment="1">
      <alignment horizontal="left" vertical="center" wrapText="1"/>
    </xf>
    <xf numFmtId="0" fontId="8" fillId="33" borderId="7" xfId="0" applyFont="1" applyFill="1" applyBorder="1" applyAlignment="1">
      <alignment horizontal="center"/>
    </xf>
    <xf numFmtId="0" fontId="69" fillId="0" borderId="0" xfId="0" applyFont="1" applyAlignment="1">
      <alignment horizontal="left" vertical="top" wrapText="1"/>
    </xf>
    <xf numFmtId="0" fontId="17" fillId="0" borderId="0" xfId="0" applyFont="1" applyAlignment="1">
      <alignment horizontal="center"/>
    </xf>
  </cellXfs>
  <cellStyles count="139">
    <cellStyle name="20% – rõhk1 2" xfId="10" xr:uid="{AB853358-91DD-4625-826C-EC777C5D41A2}"/>
    <cellStyle name="20% – rõhk2 2" xfId="14" xr:uid="{1B92FEB5-A29D-498F-8D0B-35C3E04A5B22}"/>
    <cellStyle name="20% – rõhk3 2" xfId="18" xr:uid="{6B495A85-CB01-4D2E-ADCE-AF422D7FE6AA}"/>
    <cellStyle name="20% – rõhk4 2" xfId="22" xr:uid="{4E15FBF6-865C-4DEE-ADCF-18F98C435A63}"/>
    <cellStyle name="20% – rõhk5 2" xfId="26" xr:uid="{C9084AF1-3C1C-44A7-8A1B-93D9C6288682}"/>
    <cellStyle name="20% – rõhk6 2" xfId="30" xr:uid="{07599208-FB6D-4C9A-8DA4-1F912130A54D}"/>
    <cellStyle name="40% – rõhk1 2" xfId="11" xr:uid="{185FC2F0-1C47-416D-9E11-FDDFD4D2C471}"/>
    <cellStyle name="40% – rõhk2 2" xfId="15" xr:uid="{D7EC6353-1AA2-46DF-8BEC-290E701DA133}"/>
    <cellStyle name="40% – rõhk3 2" xfId="19" xr:uid="{5D8F4595-9E22-4019-8D49-AAF6070031C1}"/>
    <cellStyle name="40% – rõhk4 2" xfId="23" xr:uid="{A93CD1CB-EBA3-4B88-BBD3-14D81E83BD31}"/>
    <cellStyle name="40% – rõhk5 2" xfId="27" xr:uid="{47176284-A4D9-4128-B6B9-27CF71253C58}"/>
    <cellStyle name="40% – rõhk6 2" xfId="31" xr:uid="{FABB0F85-18F6-4CAF-AA1F-879C56D67C2D}"/>
    <cellStyle name="60% – rõhk1 2" xfId="12" xr:uid="{9E0E59B3-8E25-48E9-8029-6CA2B4CB3178}"/>
    <cellStyle name="60% – rõhk2 2" xfId="16" xr:uid="{D8DE7DB3-F8A4-49F5-BBD4-77FC5FF4AA5B}"/>
    <cellStyle name="60% – rõhk3 2" xfId="20" xr:uid="{37FD3429-CF6A-4DC1-B7BE-484EF788B487}"/>
    <cellStyle name="60% – rõhk4 2" xfId="24" xr:uid="{FB3403F2-4361-4EBC-9AEF-ADF51C53A295}"/>
    <cellStyle name="60% – rõhk5 2" xfId="28" xr:uid="{0738EBB6-F9E2-4D28-85E2-BB99B25801CA}"/>
    <cellStyle name="60% – rõhk6 2" xfId="32" xr:uid="{06E1C950-D6F7-4711-B139-B73DB2A61EFF}"/>
    <cellStyle name="Calculation 2" xfId="38" xr:uid="{B13B1BE4-2A87-4E20-90E5-25FC40B35A2B}"/>
    <cellStyle name="Calculation 3" xfId="37" xr:uid="{149617C9-9DEF-40CE-BE4D-16D8039A71EC}"/>
    <cellStyle name="Comma 2" xfId="39" xr:uid="{150D574C-670A-4277-B674-BD57AE7E22E5}"/>
    <cellStyle name="Comma 2 2" xfId="135" xr:uid="{DF68D00A-0CEE-4525-88C7-F1E5AEBB98F1}"/>
    <cellStyle name="Comma 3" xfId="34" xr:uid="{C6DBCEA8-457E-4773-89DC-96C8DE93DFCA}"/>
    <cellStyle name="Comma 3 2" xfId="134" xr:uid="{F0265473-6393-4DF2-8B53-F28669FFD6AD}"/>
    <cellStyle name="Comma 4" xfId="51" xr:uid="{889EF21B-D56E-4F71-8BCD-31570BC6CAF8}"/>
    <cellStyle name="Comma 4 2" xfId="136" xr:uid="{82F41C1A-C781-4D8E-9DBB-2894B2F46E4E}"/>
    <cellStyle name="Even" xfId="132" xr:uid="{C266B0A3-B82E-4E80-B142-5B1E2378B6FB}"/>
    <cellStyle name="Explanatory Text 2" xfId="40" xr:uid="{5971AAF1-191F-46DB-B462-CA1537809035}"/>
    <cellStyle name="Followed Hyperlink 2" xfId="41" xr:uid="{8A6F15CA-FAF4-40A7-A0A3-7D11AE4915DD}"/>
    <cellStyle name="Grey" xfId="52" xr:uid="{7E8A679E-6C1C-4777-9049-8EE9307FA56F}"/>
    <cellStyle name="Halb 2" xfId="6" xr:uid="{5C6F9108-23F2-493A-85F6-2AFA070CF8D1}"/>
    <cellStyle name="Hea 2" xfId="5" xr:uid="{95B8246C-1B23-4E5C-8348-7433E2D6F9A8}"/>
    <cellStyle name="Hüperlink 2" xfId="65" xr:uid="{033DB4FB-936F-4547-BAD1-B9563857B5F7}"/>
    <cellStyle name="Hyperlink" xfId="2" builtinId="8"/>
    <cellStyle name="Hyperlink 2" xfId="35" xr:uid="{0C72D83E-1427-4CFF-A312-97402EB5FCF8}"/>
    <cellStyle name="Hyperlink 3" xfId="42" xr:uid="{AE89D95C-1BF2-432C-B1D6-9B114CB7BABE}"/>
    <cellStyle name="Input [yellow]" xfId="53" xr:uid="{D63B2CF9-9656-4860-92F6-31D49B46F1F7}"/>
    <cellStyle name="Input 10" xfId="69" xr:uid="{D39DBC05-C755-49F8-9D00-7BAAA3975F0D}"/>
    <cellStyle name="Input 11" xfId="78" xr:uid="{95204981-6CF2-4993-B9A9-EE7A8B3C3833}"/>
    <cellStyle name="Input 12" xfId="80" xr:uid="{9A6C0E3B-CE10-4DB1-BDF3-D4EDA94DE2AB}"/>
    <cellStyle name="Input 13" xfId="77" xr:uid="{DED9EF23-1E89-4013-9FD1-EDE27E26BCB6}"/>
    <cellStyle name="Input 14" xfId="82" xr:uid="{8FF9763D-39C5-4A76-8655-BDE35BE9899C}"/>
    <cellStyle name="Input 15" xfId="92" xr:uid="{68A42B53-61D6-4B3D-A8E0-DEEA2045B072}"/>
    <cellStyle name="Input 16" xfId="72" xr:uid="{55CE1036-C7F1-40EB-966F-F16028AED862}"/>
    <cellStyle name="Input 17" xfId="88" xr:uid="{C58A984A-1241-48A2-B91A-7B98E00F81E2}"/>
    <cellStyle name="Input 18" xfId="71" xr:uid="{22636D15-3954-494A-B18F-A3CFDB70682F}"/>
    <cellStyle name="Input 19" xfId="93" xr:uid="{ABD58185-B470-4EAA-94CA-7294B2A45D21}"/>
    <cellStyle name="Input 2" xfId="43" xr:uid="{96741CD3-3258-4AA7-A447-A75247108D47}"/>
    <cellStyle name="Input 20" xfId="81" xr:uid="{CF9D83E4-2958-4B00-953E-293514482ACC}"/>
    <cellStyle name="Input 21" xfId="96" xr:uid="{C1094AED-5D36-4DFD-B3C8-9705E0F0B046}"/>
    <cellStyle name="Input 22" xfId="85" xr:uid="{2E15DED2-1E5A-4971-9780-2691E49CF4E1}"/>
    <cellStyle name="Input 23" xfId="101" xr:uid="{6F2D9E48-F6DC-4D22-8E15-A4522DC25882}"/>
    <cellStyle name="Input 24" xfId="86" xr:uid="{09500296-E493-4C00-AF6F-B12F9563E81B}"/>
    <cellStyle name="Input 25" xfId="102" xr:uid="{5E2107FE-CF6F-406E-B90D-0AC709A3130B}"/>
    <cellStyle name="Input 26" xfId="90" xr:uid="{7DDC1F33-E536-411F-86EE-0B0589912097}"/>
    <cellStyle name="Input 27" xfId="103" xr:uid="{32C6F68D-45AF-4A54-BF67-DC31BB13369F}"/>
    <cellStyle name="Input 28" xfId="106" xr:uid="{8EB2717D-CBBC-424C-81C2-F04B5B00BF44}"/>
    <cellStyle name="Input 29" xfId="104" xr:uid="{FED650FE-C141-4856-9CB5-4C3AD7E2907E}"/>
    <cellStyle name="Input 3" xfId="76" xr:uid="{6DC4CC40-AE7C-463E-B362-7C6EB817A9EE}"/>
    <cellStyle name="Input 30" xfId="107" xr:uid="{A693121D-D47C-4616-8E4F-CCB86BC22F80}"/>
    <cellStyle name="Input 31" xfId="124" xr:uid="{6460209E-E7EF-4603-B4D0-DB1EC413EA91}"/>
    <cellStyle name="Input 4" xfId="70" xr:uid="{C72F7A47-AF6A-41DD-8F5B-9940EA9FE825}"/>
    <cellStyle name="Input 5" xfId="74" xr:uid="{26C5A330-A19D-4769-82EE-8FFBC083643B}"/>
    <cellStyle name="Input 6" xfId="68" xr:uid="{6F01DB86-1703-4D12-914D-AD0ADAF5706C}"/>
    <cellStyle name="Input 7" xfId="73" xr:uid="{E9468CC7-D1A2-4EDA-BE6A-1C1545652A0B}"/>
    <cellStyle name="Input 8" xfId="67" xr:uid="{F254C79A-E470-45C1-A11B-B284D4AC2C32}"/>
    <cellStyle name="Input 9" xfId="75" xr:uid="{8359DEF1-6E49-4D81-90F8-2E95F1BC522B}"/>
    <cellStyle name="Input data" xfId="44" xr:uid="{CAFBBFB1-C00B-4782-A146-CEC59C84CAD8}"/>
    <cellStyle name="Kontrolli lahtrit 2" xfId="8" xr:uid="{CC84D6BD-92E3-4EE0-B4BC-2811554C82E5}"/>
    <cellStyle name="Linked Cell 2" xfId="45" xr:uid="{7EFF59D5-077A-48A6-99B2-AFA2DB14F954}"/>
    <cellStyle name="Mudeli alamleht" xfId="131" xr:uid="{297AE362-E5AE-476F-B823-10484501EBD4}"/>
    <cellStyle name="Märkus 2" xfId="130" xr:uid="{96BDB160-3D9D-43D0-B968-4560FD34EF38}"/>
    <cellStyle name="Neutraalne 2" xfId="7" xr:uid="{C29F5E36-6A31-4867-B2B7-7E2FE6065E3E}"/>
    <cellStyle name="Normaali 2" xfId="137" xr:uid="{E621AE03-3FEF-4519-8CEE-59CE091EEE85}"/>
    <cellStyle name="Normaallaad 2" xfId="3" xr:uid="{7F211E4D-B2F2-4870-8CC3-C7FCBEBA1F72}"/>
    <cellStyle name="Normal" xfId="0" builtinId="0"/>
    <cellStyle name="Normal - Style1" xfId="54" xr:uid="{22E90758-C289-45DE-A1D2-C4D0C99DB185}"/>
    <cellStyle name="Normal 10" xfId="84" xr:uid="{ABEC0DDB-9CFA-4071-B02F-87C05F264008}"/>
    <cellStyle name="Normal 11" xfId="87" xr:uid="{50CD0BB6-6227-4DCC-B0A6-381EB3940CBA}"/>
    <cellStyle name="Normal 12" xfId="89" xr:uid="{A06DFA88-0F11-4076-9890-E0C72823D745}"/>
    <cellStyle name="Normal 13" xfId="91" xr:uid="{9024B5E0-FCC0-41FF-9BEC-9459C934031A}"/>
    <cellStyle name="Normal 14" xfId="94" xr:uid="{41ECFEFF-B2F7-4E4A-903B-EE2A26A44BD1}"/>
    <cellStyle name="Normal 15" xfId="95" xr:uid="{6D58DE82-51CD-49C3-A11F-6C1D7C503618}"/>
    <cellStyle name="Normal 16" xfId="97" xr:uid="{550786B9-7236-40FD-8F44-B0DA605B2D65}"/>
    <cellStyle name="Normal 17" xfId="99" xr:uid="{2C0E4429-F75E-4CB3-AC86-645F0F86F947}"/>
    <cellStyle name="Normal 18" xfId="100" xr:uid="{56B1B252-8739-4DFD-B31C-E1183A72F0A6}"/>
    <cellStyle name="Normal 19" xfId="98" xr:uid="{A88EC040-7DE8-45D1-8516-20AB0508352B}"/>
    <cellStyle name="Normal 2" xfId="36" xr:uid="{C21DCF6B-2BA6-4237-996C-5795F6468B0D}"/>
    <cellStyle name="Normal 20" xfId="105" xr:uid="{2CB5B8A9-0F28-4780-96E9-6F2B6B46B570}"/>
    <cellStyle name="Normal 21" xfId="108" xr:uid="{445DD487-6ADD-4ADA-A149-970E16D8615F}"/>
    <cellStyle name="Normal 22" xfId="109" xr:uid="{0BB10129-40CA-4F98-BDC5-01C272B3E995}"/>
    <cellStyle name="Normal 23" xfId="110" xr:uid="{C29AFC39-247E-4745-B938-E6FE34B74A5A}"/>
    <cellStyle name="Normal 24" xfId="111" xr:uid="{E04B3D3F-D82E-4AA9-9621-EFCA2F663010}"/>
    <cellStyle name="Normal 25" xfId="112" xr:uid="{C6205DCD-2892-45A6-BDF5-CDEA2A18D803}"/>
    <cellStyle name="Normal 26" xfId="113" xr:uid="{8E348788-CF98-4B9E-A55D-951B3FF5E9F8}"/>
    <cellStyle name="Normal 27" xfId="114" xr:uid="{FA1F05D8-6D8E-4445-A4AA-FD5F769736A1}"/>
    <cellStyle name="Normal 28" xfId="115" xr:uid="{CC0ADC99-6742-489A-A8CF-C706821CD249}"/>
    <cellStyle name="Normal 29" xfId="116" xr:uid="{35EFC1AC-2E06-4ADC-A14E-E042E35D279F}"/>
    <cellStyle name="Normal 3" xfId="50" xr:uid="{81DEC3C0-650C-4FD1-92D2-270158EAD0D0}"/>
    <cellStyle name="Normal 30" xfId="117" xr:uid="{F58A7A5A-47C4-442E-BA1E-4EDD3CB8BF49}"/>
    <cellStyle name="Normal 31" xfId="118" xr:uid="{3E57543D-0566-4262-A95F-CCF6B31D7D95}"/>
    <cellStyle name="Normal 32" xfId="119" xr:uid="{B3C725F2-62AE-49CB-A313-8DF1FA5B2047}"/>
    <cellStyle name="Normal 33" xfId="120" xr:uid="{D9315407-85E0-44B6-9EF6-22ACF4957B51}"/>
    <cellStyle name="Normal 34" xfId="121" xr:uid="{B0F6AEA8-4EAD-4E41-8306-EA1074E3390A}"/>
    <cellStyle name="Normal 35" xfId="123" xr:uid="{E1C57912-B65A-4DEA-9BC8-24E31BD4C795}"/>
    <cellStyle name="Normal 36" xfId="125" xr:uid="{ADC7F8EF-2BD5-4645-ACEB-686B2D92CE6F}"/>
    <cellStyle name="Normal 4" xfId="33" xr:uid="{989ED1E9-7534-4BC0-9DA4-0271CA999852}"/>
    <cellStyle name="Normal 5" xfId="61" xr:uid="{25DDEFCB-EE59-4FCE-9401-A8831C0D9B38}"/>
    <cellStyle name="Normal 6" xfId="63" xr:uid="{D461A654-1C14-4F41-92D9-01E6CB35217A}"/>
    <cellStyle name="Normal 7" xfId="66" xr:uid="{6F61FFD9-731A-4AF2-9D9F-973307E6BE58}"/>
    <cellStyle name="Normal 8" xfId="79" xr:uid="{AF919BFA-F847-4E74-AD17-A7AC148E5B57}"/>
    <cellStyle name="Normal 9" xfId="83" xr:uid="{832C8D5A-EC14-4E2F-A917-B10EDCA7C918}"/>
    <cellStyle name="Note 2" xfId="46" xr:uid="{9B91C84E-5587-4ABA-AEE2-1E6CF612DCA3}"/>
    <cellStyle name="Odd" xfId="133" xr:uid="{DD9D3AE2-9A4B-4957-B2A4-9C0637B6B29F}"/>
    <cellStyle name="Output 2" xfId="47" xr:uid="{E707BD04-5097-4C83-8878-7E69B5CFC83D}"/>
    <cellStyle name="Pealkiri 1 2" xfId="127" xr:uid="{B8510A2D-F852-4782-822B-12D26383FD32}"/>
    <cellStyle name="Pealkiri 2 2" xfId="128" xr:uid="{C9FB4B17-9302-4270-A191-76482E9D8B6E}"/>
    <cellStyle name="Percent" xfId="1" builtinId="5"/>
    <cellStyle name="Percent [2]" xfId="56" xr:uid="{2E59E42C-78C2-4CF5-9352-08FADE13907E}"/>
    <cellStyle name="Percent 2" xfId="55" xr:uid="{71689967-B7F0-41FE-A800-150928743509}"/>
    <cellStyle name="Percent 3" xfId="62" xr:uid="{6715F63D-0EAA-4BFE-A5B8-F04651D3D47F}"/>
    <cellStyle name="Percent 4" xfId="64" xr:uid="{56899FF4-4389-4A63-A8FA-38820367FA7F}"/>
    <cellStyle name="Percent 5" xfId="126" xr:uid="{8B8442E4-137B-4B47-8DF6-032532798A80}"/>
    <cellStyle name="Protsent 2" xfId="138" xr:uid="{45CC23CC-7FA4-4F67-ABED-F48FE48C8135}"/>
    <cellStyle name="Rõhk1 2" xfId="9" xr:uid="{8212CBBD-9A9C-464A-A188-69E53B2CB1B6}"/>
    <cellStyle name="Rõhk2 2" xfId="13" xr:uid="{E16B9E45-B295-4853-92E6-476ECAFF4565}"/>
    <cellStyle name="Rõhk3 2" xfId="17" xr:uid="{CD6BFF9F-0033-4185-AEBD-12E260584F89}"/>
    <cellStyle name="Rõhk4 2" xfId="21" xr:uid="{BC11F5CC-5362-4236-B411-7E587424C823}"/>
    <cellStyle name="Rõhk5 2" xfId="25" xr:uid="{B246E0CA-8658-46B8-AC93-59898F46A2A1}"/>
    <cellStyle name="Rõhk6 2" xfId="29" xr:uid="{977B7067-7A3A-4BEC-ACF8-BE5DB94D7D1B}"/>
    <cellStyle name="Selection" xfId="48" xr:uid="{0FF15841-8F59-4426-A4D3-D8398596274C}"/>
    <cellStyle name="Sisend 2" xfId="129" xr:uid="{A89F6F0E-8C88-4C24-8DB0-D2DA4C9DF644}"/>
    <cellStyle name="Tusental (0)_pldt" xfId="57" xr:uid="{DAA56BD7-C481-47C9-8E42-0D1016E53CD2}"/>
    <cellStyle name="Tusental_pldt" xfId="58" xr:uid="{B1489F6E-FB31-4392-AB78-EFECE160A351}"/>
    <cellStyle name="Valuta (0)_pldt" xfId="59" xr:uid="{E546B06E-4E27-4F1A-AE70-354F4DD32B72}"/>
    <cellStyle name="Valuta_pldt" xfId="60" xr:uid="{062A42D8-287F-44F6-8C68-8493F57E67EA}"/>
    <cellStyle name="Warning Text 2" xfId="49" xr:uid="{83F5D19E-872A-4F64-AEA0-2359A4EB12C8}"/>
    <cellStyle name="WRI tabel head" xfId="122" xr:uid="{68EE6888-5E16-4B64-82B4-831D97322ECE}"/>
    <cellStyle name="Üldpealkiri 2" xfId="4" xr:uid="{49E8A700-4C72-4FAD-A634-3D920523DAD7}"/>
  </cellStyles>
  <dxfs count="2">
    <dxf>
      <font>
        <color rgb="FF9C0006"/>
      </font>
      <fill>
        <patternFill patternType="solid">
          <fgColor indexed="64"/>
          <bgColor rgb="FFFFC7CE"/>
        </patternFill>
      </fill>
    </dxf>
    <dxf>
      <font>
        <color rgb="FF006100"/>
      </font>
      <fill>
        <patternFill patternType="solid">
          <fgColor indexed="64"/>
          <bgColor rgb="FFC6EFCE"/>
        </patternFill>
      </fill>
    </dxf>
  </dxfs>
  <tableStyles count="0" defaultTableStyle="TableStyleMedium2" defaultPivotStyle="PivotStyleLight16"/>
  <colors>
    <mruColors>
      <color rgb="FFFFFFCC"/>
      <color rgb="FFD0D0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141</xdr:row>
      <xdr:rowOff>0</xdr:rowOff>
    </xdr:from>
    <xdr:to>
      <xdr:col>4</xdr:col>
      <xdr:colOff>283845</xdr:colOff>
      <xdr:row>141</xdr:row>
      <xdr:rowOff>4445</xdr:rowOff>
    </xdr:to>
    <xdr:grpSp>
      <xdr:nvGrpSpPr>
        <xdr:cNvPr id="6" name="Group 100720">
          <a:extLst>
            <a:ext uri="{FF2B5EF4-FFF2-40B4-BE49-F238E27FC236}">
              <a16:creationId xmlns:a16="http://schemas.microsoft.com/office/drawing/2014/main" id="{774DE2FF-6E65-B838-DF19-758B700F8B61}"/>
            </a:ext>
          </a:extLst>
        </xdr:cNvPr>
        <xdr:cNvGrpSpPr/>
      </xdr:nvGrpSpPr>
      <xdr:grpSpPr>
        <a:xfrm>
          <a:off x="7969898" y="18738980"/>
          <a:ext cx="283845" cy="4445"/>
          <a:chOff x="0" y="0"/>
          <a:chExt cx="284404" cy="5029"/>
        </a:xfrm>
      </xdr:grpSpPr>
      <xdr:sp macro="" textlink="">
        <xdr:nvSpPr>
          <xdr:cNvPr id="7" name="Shape 107859">
            <a:extLst>
              <a:ext uri="{FF2B5EF4-FFF2-40B4-BE49-F238E27FC236}">
                <a16:creationId xmlns:a16="http://schemas.microsoft.com/office/drawing/2014/main" id="{00968663-B743-036F-F3E6-5CFFEFEC7637}"/>
              </a:ext>
            </a:extLst>
          </xdr:cNvPr>
          <xdr:cNvSpPr/>
        </xdr:nvSpPr>
        <xdr:spPr>
          <a:xfrm>
            <a:off x="0" y="0"/>
            <a:ext cx="284404" cy="9144"/>
          </a:xfrm>
          <a:custGeom>
            <a:avLst/>
            <a:gdLst/>
            <a:ahLst/>
            <a:cxnLst/>
            <a:rect l="0" t="0" r="0" b="0"/>
            <a:pathLst>
              <a:path w="284404" h="9144">
                <a:moveTo>
                  <a:pt x="0" y="0"/>
                </a:moveTo>
                <a:lnTo>
                  <a:pt x="284404" y="0"/>
                </a:lnTo>
                <a:lnTo>
                  <a:pt x="284404" y="9144"/>
                </a:lnTo>
                <a:lnTo>
                  <a:pt x="0" y="9144"/>
                </a:lnTo>
                <a:lnTo>
                  <a:pt x="0" y="0"/>
                </a:lnTo>
              </a:path>
            </a:pathLst>
          </a:custGeom>
          <a:ln w="0" cap="rnd">
            <a:round/>
          </a:ln>
        </xdr:spPr>
        <xdr:style>
          <a:lnRef idx="0">
            <a:srgbClr val="000000">
              <a:alpha val="0"/>
            </a:srgbClr>
          </a:lnRef>
          <a:fillRef idx="1">
            <a:srgbClr val="000000"/>
          </a:fillRef>
          <a:effectRef idx="0">
            <a:scrgbClr r="0" g="0" b="0"/>
          </a:effectRef>
          <a:fontRef idx="none"/>
        </xdr:style>
        <xdr:txBody>
          <a:bodyPr/>
          <a:lstStyle/>
          <a:p>
            <a:endParaRPr lang="en-US"/>
          </a:p>
        </xdr:txBody>
      </xdr:sp>
    </xdr:grpSp>
    <xdr:clientData/>
  </xdr:twoCellAnchor>
  <xdr:twoCellAnchor>
    <xdr:from>
      <xdr:col>5</xdr:col>
      <xdr:colOff>0</xdr:colOff>
      <xdr:row>140</xdr:row>
      <xdr:rowOff>0</xdr:rowOff>
    </xdr:from>
    <xdr:to>
      <xdr:col>5</xdr:col>
      <xdr:colOff>257175</xdr:colOff>
      <xdr:row>140</xdr:row>
      <xdr:rowOff>4445</xdr:rowOff>
    </xdr:to>
    <xdr:grpSp>
      <xdr:nvGrpSpPr>
        <xdr:cNvPr id="10" name="Group 101585">
          <a:extLst>
            <a:ext uri="{FF2B5EF4-FFF2-40B4-BE49-F238E27FC236}">
              <a16:creationId xmlns:a16="http://schemas.microsoft.com/office/drawing/2014/main" id="{AB5C11B4-7936-8DCE-94DB-4343FA395E46}"/>
            </a:ext>
          </a:extLst>
        </xdr:cNvPr>
        <xdr:cNvGrpSpPr/>
      </xdr:nvGrpSpPr>
      <xdr:grpSpPr>
        <a:xfrm>
          <a:off x="9145944" y="18087781"/>
          <a:ext cx="257175" cy="4445"/>
          <a:chOff x="0" y="0"/>
          <a:chExt cx="257759" cy="5042"/>
        </a:xfrm>
      </xdr:grpSpPr>
      <xdr:sp macro="" textlink="">
        <xdr:nvSpPr>
          <xdr:cNvPr id="11" name="Shape 107867">
            <a:extLst>
              <a:ext uri="{FF2B5EF4-FFF2-40B4-BE49-F238E27FC236}">
                <a16:creationId xmlns:a16="http://schemas.microsoft.com/office/drawing/2014/main" id="{2826ABE7-76BF-54B6-B245-266E8D6D1583}"/>
              </a:ext>
            </a:extLst>
          </xdr:cNvPr>
          <xdr:cNvSpPr/>
        </xdr:nvSpPr>
        <xdr:spPr>
          <a:xfrm>
            <a:off x="0" y="0"/>
            <a:ext cx="257759" cy="9144"/>
          </a:xfrm>
          <a:custGeom>
            <a:avLst/>
            <a:gdLst/>
            <a:ahLst/>
            <a:cxnLst/>
            <a:rect l="0" t="0" r="0" b="0"/>
            <a:pathLst>
              <a:path w="257759" h="9144">
                <a:moveTo>
                  <a:pt x="0" y="0"/>
                </a:moveTo>
                <a:lnTo>
                  <a:pt x="257759" y="0"/>
                </a:lnTo>
                <a:lnTo>
                  <a:pt x="257759" y="9144"/>
                </a:lnTo>
                <a:lnTo>
                  <a:pt x="0" y="9144"/>
                </a:lnTo>
                <a:lnTo>
                  <a:pt x="0" y="0"/>
                </a:lnTo>
              </a:path>
            </a:pathLst>
          </a:custGeom>
          <a:ln w="0" cap="rnd">
            <a:round/>
          </a:ln>
        </xdr:spPr>
        <xdr:style>
          <a:lnRef idx="0">
            <a:srgbClr val="000000">
              <a:alpha val="0"/>
            </a:srgbClr>
          </a:lnRef>
          <a:fillRef idx="1">
            <a:srgbClr val="000000"/>
          </a:fillRef>
          <a:effectRef idx="0">
            <a:scrgbClr r="0" g="0" b="0"/>
          </a:effectRef>
          <a:fontRef idx="none"/>
        </xdr:style>
        <xdr:txBody>
          <a:bodyPr/>
          <a:lstStyle/>
          <a:p>
            <a:endParaRPr lang="en-US"/>
          </a:p>
        </xdr:txBody>
      </xdr:sp>
    </xdr:grpSp>
    <xdr:clientData/>
  </xdr:twoCellAnchor>
  <xdr:twoCellAnchor>
    <xdr:from>
      <xdr:col>6</xdr:col>
      <xdr:colOff>0</xdr:colOff>
      <xdr:row>159</xdr:row>
      <xdr:rowOff>0</xdr:rowOff>
    </xdr:from>
    <xdr:to>
      <xdr:col>6</xdr:col>
      <xdr:colOff>257175</xdr:colOff>
      <xdr:row>159</xdr:row>
      <xdr:rowOff>4445</xdr:rowOff>
    </xdr:to>
    <xdr:grpSp>
      <xdr:nvGrpSpPr>
        <xdr:cNvPr id="12" name="Group 101585">
          <a:extLst>
            <a:ext uri="{FF2B5EF4-FFF2-40B4-BE49-F238E27FC236}">
              <a16:creationId xmlns:a16="http://schemas.microsoft.com/office/drawing/2014/main" id="{D2DA2646-1D83-40AE-9E88-F1317B2F0F19}"/>
            </a:ext>
          </a:extLst>
        </xdr:cNvPr>
        <xdr:cNvGrpSpPr/>
      </xdr:nvGrpSpPr>
      <xdr:grpSpPr>
        <a:xfrm>
          <a:off x="10759362" y="29702449"/>
          <a:ext cx="257175" cy="4445"/>
          <a:chOff x="0" y="0"/>
          <a:chExt cx="257759" cy="5042"/>
        </a:xfrm>
      </xdr:grpSpPr>
      <xdr:sp macro="" textlink="">
        <xdr:nvSpPr>
          <xdr:cNvPr id="13" name="Shape 107867">
            <a:extLst>
              <a:ext uri="{FF2B5EF4-FFF2-40B4-BE49-F238E27FC236}">
                <a16:creationId xmlns:a16="http://schemas.microsoft.com/office/drawing/2014/main" id="{E6A30017-5CB2-D9E8-39E1-FBE87025C803}"/>
              </a:ext>
            </a:extLst>
          </xdr:cNvPr>
          <xdr:cNvSpPr/>
        </xdr:nvSpPr>
        <xdr:spPr>
          <a:xfrm>
            <a:off x="0" y="0"/>
            <a:ext cx="257759" cy="9144"/>
          </a:xfrm>
          <a:custGeom>
            <a:avLst/>
            <a:gdLst/>
            <a:ahLst/>
            <a:cxnLst/>
            <a:rect l="0" t="0" r="0" b="0"/>
            <a:pathLst>
              <a:path w="257759" h="9144">
                <a:moveTo>
                  <a:pt x="0" y="0"/>
                </a:moveTo>
                <a:lnTo>
                  <a:pt x="257759" y="0"/>
                </a:lnTo>
                <a:lnTo>
                  <a:pt x="257759" y="9144"/>
                </a:lnTo>
                <a:lnTo>
                  <a:pt x="0" y="9144"/>
                </a:lnTo>
                <a:lnTo>
                  <a:pt x="0" y="0"/>
                </a:lnTo>
              </a:path>
            </a:pathLst>
          </a:custGeom>
          <a:ln w="0" cap="rnd">
            <a:round/>
          </a:ln>
        </xdr:spPr>
        <xdr:style>
          <a:lnRef idx="0">
            <a:srgbClr val="000000">
              <a:alpha val="0"/>
            </a:srgbClr>
          </a:lnRef>
          <a:fillRef idx="1">
            <a:srgbClr val="000000"/>
          </a:fillRef>
          <a:effectRef idx="0">
            <a:scrgbClr r="0" g="0" b="0"/>
          </a:effectRef>
          <a:fontRef idx="none"/>
        </xdr:style>
        <xdr:txBody>
          <a:bodyPr/>
          <a:lstStyle/>
          <a:p>
            <a:endParaRPr lang="en-US"/>
          </a:p>
        </xdr:txBody>
      </xdr:sp>
    </xdr:grpSp>
    <xdr:clientData/>
  </xdr:twoCellAnchor>
  <xdr:twoCellAnchor>
    <xdr:from>
      <xdr:col>4</xdr:col>
      <xdr:colOff>0</xdr:colOff>
      <xdr:row>126</xdr:row>
      <xdr:rowOff>0</xdr:rowOff>
    </xdr:from>
    <xdr:to>
      <xdr:col>4</xdr:col>
      <xdr:colOff>257175</xdr:colOff>
      <xdr:row>126</xdr:row>
      <xdr:rowOff>4445</xdr:rowOff>
    </xdr:to>
    <xdr:grpSp>
      <xdr:nvGrpSpPr>
        <xdr:cNvPr id="14" name="Group 101585">
          <a:extLst>
            <a:ext uri="{FF2B5EF4-FFF2-40B4-BE49-F238E27FC236}">
              <a16:creationId xmlns:a16="http://schemas.microsoft.com/office/drawing/2014/main" id="{CD3BA477-5AAD-4DD7-934A-2CF896973E29}"/>
            </a:ext>
          </a:extLst>
        </xdr:cNvPr>
        <xdr:cNvGrpSpPr/>
      </xdr:nvGrpSpPr>
      <xdr:grpSpPr>
        <a:xfrm>
          <a:off x="7969898" y="7862985"/>
          <a:ext cx="257175" cy="4445"/>
          <a:chOff x="0" y="0"/>
          <a:chExt cx="257759" cy="5042"/>
        </a:xfrm>
      </xdr:grpSpPr>
      <xdr:sp macro="" textlink="">
        <xdr:nvSpPr>
          <xdr:cNvPr id="15" name="Shape 107867">
            <a:extLst>
              <a:ext uri="{FF2B5EF4-FFF2-40B4-BE49-F238E27FC236}">
                <a16:creationId xmlns:a16="http://schemas.microsoft.com/office/drawing/2014/main" id="{2C4D1396-9CB7-A669-C753-B107A58D14BE}"/>
              </a:ext>
            </a:extLst>
          </xdr:cNvPr>
          <xdr:cNvSpPr/>
        </xdr:nvSpPr>
        <xdr:spPr>
          <a:xfrm>
            <a:off x="0" y="0"/>
            <a:ext cx="257759" cy="9144"/>
          </a:xfrm>
          <a:custGeom>
            <a:avLst/>
            <a:gdLst/>
            <a:ahLst/>
            <a:cxnLst/>
            <a:rect l="0" t="0" r="0" b="0"/>
            <a:pathLst>
              <a:path w="257759" h="9144">
                <a:moveTo>
                  <a:pt x="0" y="0"/>
                </a:moveTo>
                <a:lnTo>
                  <a:pt x="257759" y="0"/>
                </a:lnTo>
                <a:lnTo>
                  <a:pt x="257759" y="9144"/>
                </a:lnTo>
                <a:lnTo>
                  <a:pt x="0" y="9144"/>
                </a:lnTo>
                <a:lnTo>
                  <a:pt x="0" y="0"/>
                </a:lnTo>
              </a:path>
            </a:pathLst>
          </a:custGeom>
          <a:ln w="0" cap="rnd">
            <a:round/>
          </a:ln>
        </xdr:spPr>
        <xdr:style>
          <a:lnRef idx="0">
            <a:srgbClr val="000000">
              <a:alpha val="0"/>
            </a:srgbClr>
          </a:lnRef>
          <a:fillRef idx="1">
            <a:srgbClr val="000000"/>
          </a:fillRef>
          <a:effectRef idx="0">
            <a:scrgbClr r="0" g="0" b="0"/>
          </a:effectRef>
          <a:fontRef idx="none"/>
        </xdr:style>
        <xdr:txBody>
          <a:bodyPr/>
          <a:lstStyle/>
          <a:p>
            <a:endParaRPr lang="en-US"/>
          </a:p>
        </xdr:txBody>
      </xdr:sp>
    </xdr:grpSp>
    <xdr:clientData/>
  </xdr:twoCellAnchor>
  <xdr:twoCellAnchor>
    <xdr:from>
      <xdr:col>5</xdr:col>
      <xdr:colOff>0</xdr:colOff>
      <xdr:row>143</xdr:row>
      <xdr:rowOff>0</xdr:rowOff>
    </xdr:from>
    <xdr:to>
      <xdr:col>5</xdr:col>
      <xdr:colOff>257175</xdr:colOff>
      <xdr:row>143</xdr:row>
      <xdr:rowOff>4445</xdr:rowOff>
    </xdr:to>
    <xdr:grpSp>
      <xdr:nvGrpSpPr>
        <xdr:cNvPr id="16" name="Group 101585">
          <a:extLst>
            <a:ext uri="{FF2B5EF4-FFF2-40B4-BE49-F238E27FC236}">
              <a16:creationId xmlns:a16="http://schemas.microsoft.com/office/drawing/2014/main" id="{6AA1C3A3-23FB-4900-AADB-89385E84C3B6}"/>
            </a:ext>
          </a:extLst>
        </xdr:cNvPr>
        <xdr:cNvGrpSpPr/>
      </xdr:nvGrpSpPr>
      <xdr:grpSpPr>
        <a:xfrm>
          <a:off x="9145944" y="20682857"/>
          <a:ext cx="257175" cy="4445"/>
          <a:chOff x="0" y="0"/>
          <a:chExt cx="257759" cy="5042"/>
        </a:xfrm>
      </xdr:grpSpPr>
      <xdr:sp macro="" textlink="">
        <xdr:nvSpPr>
          <xdr:cNvPr id="17" name="Shape 107867">
            <a:extLst>
              <a:ext uri="{FF2B5EF4-FFF2-40B4-BE49-F238E27FC236}">
                <a16:creationId xmlns:a16="http://schemas.microsoft.com/office/drawing/2014/main" id="{9ABDBBF4-E23F-1295-A198-B9D05A671B06}"/>
              </a:ext>
            </a:extLst>
          </xdr:cNvPr>
          <xdr:cNvSpPr/>
        </xdr:nvSpPr>
        <xdr:spPr>
          <a:xfrm>
            <a:off x="0" y="0"/>
            <a:ext cx="257759" cy="9144"/>
          </a:xfrm>
          <a:custGeom>
            <a:avLst/>
            <a:gdLst/>
            <a:ahLst/>
            <a:cxnLst/>
            <a:rect l="0" t="0" r="0" b="0"/>
            <a:pathLst>
              <a:path w="257759" h="9144">
                <a:moveTo>
                  <a:pt x="0" y="0"/>
                </a:moveTo>
                <a:lnTo>
                  <a:pt x="257759" y="0"/>
                </a:lnTo>
                <a:lnTo>
                  <a:pt x="257759" y="9144"/>
                </a:lnTo>
                <a:lnTo>
                  <a:pt x="0" y="9144"/>
                </a:lnTo>
                <a:lnTo>
                  <a:pt x="0" y="0"/>
                </a:lnTo>
              </a:path>
            </a:pathLst>
          </a:custGeom>
          <a:ln w="0" cap="rnd">
            <a:round/>
          </a:ln>
        </xdr:spPr>
        <xdr:style>
          <a:lnRef idx="0">
            <a:srgbClr val="000000">
              <a:alpha val="0"/>
            </a:srgbClr>
          </a:lnRef>
          <a:fillRef idx="1">
            <a:srgbClr val="000000"/>
          </a:fillRef>
          <a:effectRef idx="0">
            <a:scrgbClr r="0" g="0" b="0"/>
          </a:effectRef>
          <a:fontRef idx="none"/>
        </xdr:style>
        <xdr:txBody>
          <a:bodyPr/>
          <a:lstStyle/>
          <a:p>
            <a:endParaRPr lang="en-US"/>
          </a:p>
        </xdr:txBody>
      </xdr:sp>
    </xdr:grpSp>
    <xdr:clientData/>
  </xdr:twoCellAnchor>
  <xdr:twoCellAnchor>
    <xdr:from>
      <xdr:col>5</xdr:col>
      <xdr:colOff>0</xdr:colOff>
      <xdr:row>145</xdr:row>
      <xdr:rowOff>0</xdr:rowOff>
    </xdr:from>
    <xdr:to>
      <xdr:col>5</xdr:col>
      <xdr:colOff>257175</xdr:colOff>
      <xdr:row>145</xdr:row>
      <xdr:rowOff>4445</xdr:rowOff>
    </xdr:to>
    <xdr:grpSp>
      <xdr:nvGrpSpPr>
        <xdr:cNvPr id="20" name="Group 101585">
          <a:extLst>
            <a:ext uri="{FF2B5EF4-FFF2-40B4-BE49-F238E27FC236}">
              <a16:creationId xmlns:a16="http://schemas.microsoft.com/office/drawing/2014/main" id="{EF2C1100-7D83-4473-8ABF-792B03D0B497}"/>
            </a:ext>
          </a:extLst>
        </xdr:cNvPr>
        <xdr:cNvGrpSpPr/>
      </xdr:nvGrpSpPr>
      <xdr:grpSpPr>
        <a:xfrm>
          <a:off x="9145944" y="22626735"/>
          <a:ext cx="257175" cy="4445"/>
          <a:chOff x="0" y="0"/>
          <a:chExt cx="257759" cy="5042"/>
        </a:xfrm>
      </xdr:grpSpPr>
      <xdr:sp macro="" textlink="">
        <xdr:nvSpPr>
          <xdr:cNvPr id="21" name="Shape 107867">
            <a:extLst>
              <a:ext uri="{FF2B5EF4-FFF2-40B4-BE49-F238E27FC236}">
                <a16:creationId xmlns:a16="http://schemas.microsoft.com/office/drawing/2014/main" id="{10062C61-49E5-8AAD-A671-1C5636B54FEC}"/>
              </a:ext>
            </a:extLst>
          </xdr:cNvPr>
          <xdr:cNvSpPr/>
        </xdr:nvSpPr>
        <xdr:spPr>
          <a:xfrm>
            <a:off x="0" y="0"/>
            <a:ext cx="257759" cy="9144"/>
          </a:xfrm>
          <a:custGeom>
            <a:avLst/>
            <a:gdLst/>
            <a:ahLst/>
            <a:cxnLst/>
            <a:rect l="0" t="0" r="0" b="0"/>
            <a:pathLst>
              <a:path w="257759" h="9144">
                <a:moveTo>
                  <a:pt x="0" y="0"/>
                </a:moveTo>
                <a:lnTo>
                  <a:pt x="257759" y="0"/>
                </a:lnTo>
                <a:lnTo>
                  <a:pt x="257759" y="9144"/>
                </a:lnTo>
                <a:lnTo>
                  <a:pt x="0" y="9144"/>
                </a:lnTo>
                <a:lnTo>
                  <a:pt x="0" y="0"/>
                </a:lnTo>
              </a:path>
            </a:pathLst>
          </a:custGeom>
          <a:ln w="0" cap="rnd">
            <a:round/>
          </a:ln>
        </xdr:spPr>
        <xdr:style>
          <a:lnRef idx="0">
            <a:srgbClr val="000000">
              <a:alpha val="0"/>
            </a:srgbClr>
          </a:lnRef>
          <a:fillRef idx="1">
            <a:srgbClr val="000000"/>
          </a:fillRef>
          <a:effectRef idx="0">
            <a:scrgbClr r="0" g="0" b="0"/>
          </a:effectRef>
          <a:fontRef idx="none"/>
        </xdr:style>
        <xdr:txBody>
          <a:bodyPr/>
          <a:lstStyle/>
          <a:p>
            <a:endParaRPr lang="en-US"/>
          </a:p>
        </xdr:txBody>
      </xdr:sp>
    </xdr:grpSp>
    <xdr:clientData/>
  </xdr:twoCellAnchor>
  <xdr:twoCellAnchor>
    <xdr:from>
      <xdr:col>6</xdr:col>
      <xdr:colOff>0</xdr:colOff>
      <xdr:row>163</xdr:row>
      <xdr:rowOff>0</xdr:rowOff>
    </xdr:from>
    <xdr:to>
      <xdr:col>6</xdr:col>
      <xdr:colOff>257175</xdr:colOff>
      <xdr:row>163</xdr:row>
      <xdr:rowOff>4445</xdr:rowOff>
    </xdr:to>
    <xdr:grpSp>
      <xdr:nvGrpSpPr>
        <xdr:cNvPr id="22" name="Group 101585">
          <a:extLst>
            <a:ext uri="{FF2B5EF4-FFF2-40B4-BE49-F238E27FC236}">
              <a16:creationId xmlns:a16="http://schemas.microsoft.com/office/drawing/2014/main" id="{1551BADE-C15E-4D54-8E84-21FAE1CCA211}"/>
            </a:ext>
          </a:extLst>
        </xdr:cNvPr>
        <xdr:cNvGrpSpPr/>
      </xdr:nvGrpSpPr>
      <xdr:grpSpPr>
        <a:xfrm>
          <a:off x="10759362" y="31928189"/>
          <a:ext cx="257175" cy="4445"/>
          <a:chOff x="0" y="0"/>
          <a:chExt cx="257759" cy="5042"/>
        </a:xfrm>
      </xdr:grpSpPr>
      <xdr:sp macro="" textlink="">
        <xdr:nvSpPr>
          <xdr:cNvPr id="23" name="Shape 107867">
            <a:extLst>
              <a:ext uri="{FF2B5EF4-FFF2-40B4-BE49-F238E27FC236}">
                <a16:creationId xmlns:a16="http://schemas.microsoft.com/office/drawing/2014/main" id="{5468AAC2-EB5B-F084-1A32-A087200C4748}"/>
              </a:ext>
            </a:extLst>
          </xdr:cNvPr>
          <xdr:cNvSpPr/>
        </xdr:nvSpPr>
        <xdr:spPr>
          <a:xfrm>
            <a:off x="0" y="0"/>
            <a:ext cx="257759" cy="9144"/>
          </a:xfrm>
          <a:custGeom>
            <a:avLst/>
            <a:gdLst/>
            <a:ahLst/>
            <a:cxnLst/>
            <a:rect l="0" t="0" r="0" b="0"/>
            <a:pathLst>
              <a:path w="257759" h="9144">
                <a:moveTo>
                  <a:pt x="0" y="0"/>
                </a:moveTo>
                <a:lnTo>
                  <a:pt x="257759" y="0"/>
                </a:lnTo>
                <a:lnTo>
                  <a:pt x="257759" y="9144"/>
                </a:lnTo>
                <a:lnTo>
                  <a:pt x="0" y="9144"/>
                </a:lnTo>
                <a:lnTo>
                  <a:pt x="0" y="0"/>
                </a:lnTo>
              </a:path>
            </a:pathLst>
          </a:custGeom>
          <a:ln w="0" cap="rnd">
            <a:round/>
          </a:ln>
        </xdr:spPr>
        <xdr:style>
          <a:lnRef idx="0">
            <a:srgbClr val="000000">
              <a:alpha val="0"/>
            </a:srgbClr>
          </a:lnRef>
          <a:fillRef idx="1">
            <a:srgbClr val="000000"/>
          </a:fillRef>
          <a:effectRef idx="0">
            <a:scrgbClr r="0" g="0" b="0"/>
          </a:effectRef>
          <a:fontRef idx="none"/>
        </xdr:style>
        <xdr:txBody>
          <a:bodyPr/>
          <a:lstStyle/>
          <a:p>
            <a:endParaRPr lang="en-US"/>
          </a:p>
        </xdr:txBody>
      </xdr:sp>
    </xdr:grpSp>
    <xdr:clientData/>
  </xdr:twoCellAnchor>
  <xdr:twoCellAnchor>
    <xdr:from>
      <xdr:col>5</xdr:col>
      <xdr:colOff>0</xdr:colOff>
      <xdr:row>142</xdr:row>
      <xdr:rowOff>0</xdr:rowOff>
    </xdr:from>
    <xdr:to>
      <xdr:col>5</xdr:col>
      <xdr:colOff>257175</xdr:colOff>
      <xdr:row>142</xdr:row>
      <xdr:rowOff>4445</xdr:rowOff>
    </xdr:to>
    <xdr:grpSp>
      <xdr:nvGrpSpPr>
        <xdr:cNvPr id="24" name="Group 101585">
          <a:extLst>
            <a:ext uri="{FF2B5EF4-FFF2-40B4-BE49-F238E27FC236}">
              <a16:creationId xmlns:a16="http://schemas.microsoft.com/office/drawing/2014/main" id="{F1F2DACE-DAC9-4212-929B-C44ED7AB707A}"/>
            </a:ext>
          </a:extLst>
        </xdr:cNvPr>
        <xdr:cNvGrpSpPr/>
      </xdr:nvGrpSpPr>
      <xdr:grpSpPr>
        <a:xfrm>
          <a:off x="9145944" y="19710918"/>
          <a:ext cx="257175" cy="4445"/>
          <a:chOff x="0" y="0"/>
          <a:chExt cx="257759" cy="5042"/>
        </a:xfrm>
      </xdr:grpSpPr>
      <xdr:sp macro="" textlink="">
        <xdr:nvSpPr>
          <xdr:cNvPr id="25" name="Shape 107867">
            <a:extLst>
              <a:ext uri="{FF2B5EF4-FFF2-40B4-BE49-F238E27FC236}">
                <a16:creationId xmlns:a16="http://schemas.microsoft.com/office/drawing/2014/main" id="{A7701610-6A1B-CFBD-5D7D-BBAC13C3BF5A}"/>
              </a:ext>
            </a:extLst>
          </xdr:cNvPr>
          <xdr:cNvSpPr/>
        </xdr:nvSpPr>
        <xdr:spPr>
          <a:xfrm>
            <a:off x="0" y="0"/>
            <a:ext cx="257759" cy="9144"/>
          </a:xfrm>
          <a:custGeom>
            <a:avLst/>
            <a:gdLst/>
            <a:ahLst/>
            <a:cxnLst/>
            <a:rect l="0" t="0" r="0" b="0"/>
            <a:pathLst>
              <a:path w="257759" h="9144">
                <a:moveTo>
                  <a:pt x="0" y="0"/>
                </a:moveTo>
                <a:lnTo>
                  <a:pt x="257759" y="0"/>
                </a:lnTo>
                <a:lnTo>
                  <a:pt x="257759" y="9144"/>
                </a:lnTo>
                <a:lnTo>
                  <a:pt x="0" y="9144"/>
                </a:lnTo>
                <a:lnTo>
                  <a:pt x="0" y="0"/>
                </a:lnTo>
              </a:path>
            </a:pathLst>
          </a:custGeom>
          <a:ln w="0" cap="rnd">
            <a:round/>
          </a:ln>
        </xdr:spPr>
        <xdr:style>
          <a:lnRef idx="0">
            <a:srgbClr val="000000">
              <a:alpha val="0"/>
            </a:srgbClr>
          </a:lnRef>
          <a:fillRef idx="1">
            <a:srgbClr val="000000"/>
          </a:fillRef>
          <a:effectRef idx="0">
            <a:scrgbClr r="0" g="0" b="0"/>
          </a:effectRef>
          <a:fontRef idx="none"/>
        </xdr:style>
        <xdr:txBody>
          <a:bodyPr/>
          <a:lstStyle/>
          <a:p>
            <a:endParaRPr lang="en-US"/>
          </a:p>
        </xdr:txBody>
      </xdr:sp>
    </xdr:grpSp>
    <xdr:clientData/>
  </xdr:twoCellAnchor>
  <xdr:twoCellAnchor>
    <xdr:from>
      <xdr:col>4</xdr:col>
      <xdr:colOff>0</xdr:colOff>
      <xdr:row>127</xdr:row>
      <xdr:rowOff>0</xdr:rowOff>
    </xdr:from>
    <xdr:to>
      <xdr:col>4</xdr:col>
      <xdr:colOff>257175</xdr:colOff>
      <xdr:row>127</xdr:row>
      <xdr:rowOff>4445</xdr:rowOff>
    </xdr:to>
    <xdr:grpSp>
      <xdr:nvGrpSpPr>
        <xdr:cNvPr id="26" name="Group 101585">
          <a:extLst>
            <a:ext uri="{FF2B5EF4-FFF2-40B4-BE49-F238E27FC236}">
              <a16:creationId xmlns:a16="http://schemas.microsoft.com/office/drawing/2014/main" id="{9CFF75FE-E484-4E3F-ADCF-7702F5F5A68A}"/>
            </a:ext>
          </a:extLst>
        </xdr:cNvPr>
        <xdr:cNvGrpSpPr/>
      </xdr:nvGrpSpPr>
      <xdr:grpSpPr>
        <a:xfrm>
          <a:off x="7969898" y="8514184"/>
          <a:ext cx="257175" cy="4445"/>
          <a:chOff x="0" y="0"/>
          <a:chExt cx="257759" cy="5042"/>
        </a:xfrm>
      </xdr:grpSpPr>
      <xdr:sp macro="" textlink="">
        <xdr:nvSpPr>
          <xdr:cNvPr id="27" name="Shape 107867">
            <a:extLst>
              <a:ext uri="{FF2B5EF4-FFF2-40B4-BE49-F238E27FC236}">
                <a16:creationId xmlns:a16="http://schemas.microsoft.com/office/drawing/2014/main" id="{B260A6D9-E04A-21C6-6C52-EA442E819E5E}"/>
              </a:ext>
            </a:extLst>
          </xdr:cNvPr>
          <xdr:cNvSpPr/>
        </xdr:nvSpPr>
        <xdr:spPr>
          <a:xfrm>
            <a:off x="0" y="0"/>
            <a:ext cx="257759" cy="9144"/>
          </a:xfrm>
          <a:custGeom>
            <a:avLst/>
            <a:gdLst/>
            <a:ahLst/>
            <a:cxnLst/>
            <a:rect l="0" t="0" r="0" b="0"/>
            <a:pathLst>
              <a:path w="257759" h="9144">
                <a:moveTo>
                  <a:pt x="0" y="0"/>
                </a:moveTo>
                <a:lnTo>
                  <a:pt x="257759" y="0"/>
                </a:lnTo>
                <a:lnTo>
                  <a:pt x="257759" y="9144"/>
                </a:lnTo>
                <a:lnTo>
                  <a:pt x="0" y="9144"/>
                </a:lnTo>
                <a:lnTo>
                  <a:pt x="0" y="0"/>
                </a:lnTo>
              </a:path>
            </a:pathLst>
          </a:custGeom>
          <a:ln w="0" cap="rnd">
            <a:round/>
          </a:ln>
        </xdr:spPr>
        <xdr:style>
          <a:lnRef idx="0">
            <a:srgbClr val="000000">
              <a:alpha val="0"/>
            </a:srgbClr>
          </a:lnRef>
          <a:fillRef idx="1">
            <a:srgbClr val="000000"/>
          </a:fillRef>
          <a:effectRef idx="0">
            <a:scrgbClr r="0" g="0" b="0"/>
          </a:effectRef>
          <a:fontRef idx="none"/>
        </xdr:style>
        <xdr:txBody>
          <a:bodyPr/>
          <a:lstStyle/>
          <a:p>
            <a:endParaRPr lang="en-US"/>
          </a:p>
        </xdr:txBody>
      </xdr:sp>
    </xdr:grpSp>
    <xdr:clientData/>
  </xdr:twoCellAnchor>
  <xdr:twoCellAnchor>
    <xdr:from>
      <xdr:col>5</xdr:col>
      <xdr:colOff>0</xdr:colOff>
      <xdr:row>144</xdr:row>
      <xdr:rowOff>0</xdr:rowOff>
    </xdr:from>
    <xdr:to>
      <xdr:col>5</xdr:col>
      <xdr:colOff>257175</xdr:colOff>
      <xdr:row>144</xdr:row>
      <xdr:rowOff>4445</xdr:rowOff>
    </xdr:to>
    <xdr:grpSp>
      <xdr:nvGrpSpPr>
        <xdr:cNvPr id="32" name="Group 101585">
          <a:extLst>
            <a:ext uri="{FF2B5EF4-FFF2-40B4-BE49-F238E27FC236}">
              <a16:creationId xmlns:a16="http://schemas.microsoft.com/office/drawing/2014/main" id="{E3713E1A-79A1-4BAA-BC89-3C6DC6F57D6B}"/>
            </a:ext>
          </a:extLst>
        </xdr:cNvPr>
        <xdr:cNvGrpSpPr/>
      </xdr:nvGrpSpPr>
      <xdr:grpSpPr>
        <a:xfrm>
          <a:off x="9145944" y="21654796"/>
          <a:ext cx="257175" cy="4445"/>
          <a:chOff x="0" y="0"/>
          <a:chExt cx="257759" cy="5042"/>
        </a:xfrm>
      </xdr:grpSpPr>
      <xdr:sp macro="" textlink="">
        <xdr:nvSpPr>
          <xdr:cNvPr id="33" name="Shape 107867">
            <a:extLst>
              <a:ext uri="{FF2B5EF4-FFF2-40B4-BE49-F238E27FC236}">
                <a16:creationId xmlns:a16="http://schemas.microsoft.com/office/drawing/2014/main" id="{37BB7B58-383F-8640-12EC-DAC6DD42D401}"/>
              </a:ext>
            </a:extLst>
          </xdr:cNvPr>
          <xdr:cNvSpPr/>
        </xdr:nvSpPr>
        <xdr:spPr>
          <a:xfrm>
            <a:off x="0" y="0"/>
            <a:ext cx="257759" cy="9144"/>
          </a:xfrm>
          <a:custGeom>
            <a:avLst/>
            <a:gdLst/>
            <a:ahLst/>
            <a:cxnLst/>
            <a:rect l="0" t="0" r="0" b="0"/>
            <a:pathLst>
              <a:path w="257759" h="9144">
                <a:moveTo>
                  <a:pt x="0" y="0"/>
                </a:moveTo>
                <a:lnTo>
                  <a:pt x="257759" y="0"/>
                </a:lnTo>
                <a:lnTo>
                  <a:pt x="257759" y="9144"/>
                </a:lnTo>
                <a:lnTo>
                  <a:pt x="0" y="9144"/>
                </a:lnTo>
                <a:lnTo>
                  <a:pt x="0" y="0"/>
                </a:lnTo>
              </a:path>
            </a:pathLst>
          </a:custGeom>
          <a:ln w="0" cap="rnd">
            <a:round/>
          </a:ln>
        </xdr:spPr>
        <xdr:style>
          <a:lnRef idx="0">
            <a:srgbClr val="000000">
              <a:alpha val="0"/>
            </a:srgbClr>
          </a:lnRef>
          <a:fillRef idx="1">
            <a:srgbClr val="000000"/>
          </a:fillRef>
          <a:effectRef idx="0">
            <a:scrgbClr r="0" g="0" b="0"/>
          </a:effectRef>
          <a:fontRef idx="none"/>
        </xdr:style>
        <xdr:txBody>
          <a:bodyPr/>
          <a:lstStyle/>
          <a:p>
            <a:endParaRPr lang="en-US"/>
          </a:p>
        </xdr:txBody>
      </xdr:sp>
    </xdr:grpSp>
    <xdr:clientData/>
  </xdr:twoCellAnchor>
  <xdr:twoCellAnchor>
    <xdr:from>
      <xdr:col>5</xdr:col>
      <xdr:colOff>0</xdr:colOff>
      <xdr:row>144</xdr:row>
      <xdr:rowOff>0</xdr:rowOff>
    </xdr:from>
    <xdr:to>
      <xdr:col>5</xdr:col>
      <xdr:colOff>257175</xdr:colOff>
      <xdr:row>144</xdr:row>
      <xdr:rowOff>4445</xdr:rowOff>
    </xdr:to>
    <xdr:grpSp>
      <xdr:nvGrpSpPr>
        <xdr:cNvPr id="34" name="Group 101585">
          <a:extLst>
            <a:ext uri="{FF2B5EF4-FFF2-40B4-BE49-F238E27FC236}">
              <a16:creationId xmlns:a16="http://schemas.microsoft.com/office/drawing/2014/main" id="{E859D16E-183F-4E1B-9E69-C0A4D0D36EF4}"/>
            </a:ext>
          </a:extLst>
        </xdr:cNvPr>
        <xdr:cNvGrpSpPr/>
      </xdr:nvGrpSpPr>
      <xdr:grpSpPr>
        <a:xfrm>
          <a:off x="9145944" y="21654796"/>
          <a:ext cx="257175" cy="4445"/>
          <a:chOff x="0" y="0"/>
          <a:chExt cx="257759" cy="5042"/>
        </a:xfrm>
      </xdr:grpSpPr>
      <xdr:sp macro="" textlink="">
        <xdr:nvSpPr>
          <xdr:cNvPr id="35" name="Shape 107867">
            <a:extLst>
              <a:ext uri="{FF2B5EF4-FFF2-40B4-BE49-F238E27FC236}">
                <a16:creationId xmlns:a16="http://schemas.microsoft.com/office/drawing/2014/main" id="{7FECAB21-F7B6-58FF-205C-9291DB644239}"/>
              </a:ext>
            </a:extLst>
          </xdr:cNvPr>
          <xdr:cNvSpPr/>
        </xdr:nvSpPr>
        <xdr:spPr>
          <a:xfrm>
            <a:off x="0" y="0"/>
            <a:ext cx="257759" cy="9144"/>
          </a:xfrm>
          <a:custGeom>
            <a:avLst/>
            <a:gdLst/>
            <a:ahLst/>
            <a:cxnLst/>
            <a:rect l="0" t="0" r="0" b="0"/>
            <a:pathLst>
              <a:path w="257759" h="9144">
                <a:moveTo>
                  <a:pt x="0" y="0"/>
                </a:moveTo>
                <a:lnTo>
                  <a:pt x="257759" y="0"/>
                </a:lnTo>
                <a:lnTo>
                  <a:pt x="257759" y="9144"/>
                </a:lnTo>
                <a:lnTo>
                  <a:pt x="0" y="9144"/>
                </a:lnTo>
                <a:lnTo>
                  <a:pt x="0" y="0"/>
                </a:lnTo>
              </a:path>
            </a:pathLst>
          </a:custGeom>
          <a:ln w="0" cap="rnd">
            <a:round/>
          </a:ln>
        </xdr:spPr>
        <xdr:style>
          <a:lnRef idx="0">
            <a:srgbClr val="000000">
              <a:alpha val="0"/>
            </a:srgbClr>
          </a:lnRef>
          <a:fillRef idx="1">
            <a:srgbClr val="000000"/>
          </a:fillRef>
          <a:effectRef idx="0">
            <a:scrgbClr r="0" g="0" b="0"/>
          </a:effectRef>
          <a:fontRef idx="none"/>
        </xdr:style>
        <xdr:txBody>
          <a:bodyPr/>
          <a:lstStyle/>
          <a:p>
            <a:endParaRPr lang="en-US"/>
          </a:p>
        </xdr:txBody>
      </xdr:sp>
    </xdr:grpSp>
    <xdr:clientData/>
  </xdr:twoCellAnchor>
  <xdr:twoCellAnchor editAs="oneCell">
    <xdr:from>
      <xdr:col>1</xdr:col>
      <xdr:colOff>727365</xdr:colOff>
      <xdr:row>101</xdr:row>
      <xdr:rowOff>69272</xdr:rowOff>
    </xdr:from>
    <xdr:to>
      <xdr:col>4</xdr:col>
      <xdr:colOff>823318</xdr:colOff>
      <xdr:row>117</xdr:row>
      <xdr:rowOff>68948</xdr:rowOff>
    </xdr:to>
    <xdr:pic>
      <xdr:nvPicPr>
        <xdr:cNvPr id="36" name="Pilt 35">
          <a:extLst>
            <a:ext uri="{FF2B5EF4-FFF2-40B4-BE49-F238E27FC236}">
              <a16:creationId xmlns:a16="http://schemas.microsoft.com/office/drawing/2014/main" id="{04FEA939-D915-79E7-ADDE-B4FA53FB12D1}"/>
            </a:ext>
          </a:extLst>
        </xdr:cNvPr>
        <xdr:cNvPicPr>
          <a:picLocks noChangeAspect="1"/>
        </xdr:cNvPicPr>
      </xdr:nvPicPr>
      <xdr:blipFill>
        <a:blip xmlns:r="http://schemas.openxmlformats.org/officeDocument/2006/relationships" r:embed="rId1"/>
        <a:stretch>
          <a:fillRect/>
        </a:stretch>
      </xdr:blipFill>
      <xdr:spPr>
        <a:xfrm>
          <a:off x="727365" y="23266977"/>
          <a:ext cx="7117771" cy="2909130"/>
        </a:xfrm>
        <a:prstGeom prst="rect">
          <a:avLst/>
        </a:prstGeom>
      </xdr:spPr>
    </xdr:pic>
    <xdr:clientData/>
  </xdr:twoCellAnchor>
  <xdr:twoCellAnchor editAs="oneCell">
    <xdr:from>
      <xdr:col>5</xdr:col>
      <xdr:colOff>493570</xdr:colOff>
      <xdr:row>101</xdr:row>
      <xdr:rowOff>34637</xdr:rowOff>
    </xdr:from>
    <xdr:to>
      <xdr:col>12</xdr:col>
      <xdr:colOff>204913</xdr:colOff>
      <xdr:row>103</xdr:row>
      <xdr:rowOff>121228</xdr:rowOff>
    </xdr:to>
    <xdr:pic>
      <xdr:nvPicPr>
        <xdr:cNvPr id="37" name="Pilt 36">
          <a:extLst>
            <a:ext uri="{FF2B5EF4-FFF2-40B4-BE49-F238E27FC236}">
              <a16:creationId xmlns:a16="http://schemas.microsoft.com/office/drawing/2014/main" id="{B5BC0A86-E5A9-AE16-3A5E-20F54ACE0D60}"/>
            </a:ext>
          </a:extLst>
        </xdr:cNvPr>
        <xdr:cNvPicPr>
          <a:picLocks noChangeAspect="1"/>
        </xdr:cNvPicPr>
      </xdr:nvPicPr>
      <xdr:blipFill>
        <a:blip xmlns:r="http://schemas.openxmlformats.org/officeDocument/2006/relationships" r:embed="rId2"/>
        <a:stretch>
          <a:fillRect/>
        </a:stretch>
      </xdr:blipFill>
      <xdr:spPr>
        <a:xfrm>
          <a:off x="8156866" y="23232342"/>
          <a:ext cx="7746981" cy="450272"/>
        </a:xfrm>
        <a:prstGeom prst="rect">
          <a:avLst/>
        </a:prstGeom>
      </xdr:spPr>
    </xdr:pic>
    <xdr:clientData/>
  </xdr:twoCellAnchor>
  <xdr:twoCellAnchor>
    <xdr:from>
      <xdr:col>1</xdr:col>
      <xdr:colOff>184150</xdr:colOff>
      <xdr:row>122</xdr:row>
      <xdr:rowOff>95250</xdr:rowOff>
    </xdr:from>
    <xdr:to>
      <xdr:col>1</xdr:col>
      <xdr:colOff>425450</xdr:colOff>
      <xdr:row>122</xdr:row>
      <xdr:rowOff>101600</xdr:rowOff>
    </xdr:to>
    <xdr:grpSp>
      <xdr:nvGrpSpPr>
        <xdr:cNvPr id="5128" name="Group 97723">
          <a:extLst>
            <a:ext uri="{FF2B5EF4-FFF2-40B4-BE49-F238E27FC236}">
              <a16:creationId xmlns:a16="http://schemas.microsoft.com/office/drawing/2014/main" id="{24F722AA-28A3-ADF6-375F-431E74022A77}"/>
            </a:ext>
          </a:extLst>
        </xdr:cNvPr>
        <xdr:cNvGrpSpPr>
          <a:grpSpLocks/>
        </xdr:cNvGrpSpPr>
      </xdr:nvGrpSpPr>
      <xdr:grpSpPr bwMode="auto">
        <a:xfrm>
          <a:off x="1651778" y="5645020"/>
          <a:ext cx="241300" cy="6350"/>
          <a:chOff x="0" y="0"/>
          <a:chExt cx="239750" cy="4318"/>
        </a:xfrm>
      </xdr:grpSpPr>
      <xdr:sp macro="" textlink="">
        <xdr:nvSpPr>
          <xdr:cNvPr id="5131" name="Shape 107847">
            <a:extLst>
              <a:ext uri="{FF2B5EF4-FFF2-40B4-BE49-F238E27FC236}">
                <a16:creationId xmlns:a16="http://schemas.microsoft.com/office/drawing/2014/main" id="{73C55599-AD1A-6112-0BC4-2485ADD45D0A}"/>
              </a:ext>
            </a:extLst>
          </xdr:cNvPr>
          <xdr:cNvSpPr>
            <a:spLocks/>
          </xdr:cNvSpPr>
        </xdr:nvSpPr>
        <xdr:spPr bwMode="auto">
          <a:xfrm>
            <a:off x="0" y="0"/>
            <a:ext cx="239750" cy="9144"/>
          </a:xfrm>
          <a:custGeom>
            <a:avLst/>
            <a:gdLst>
              <a:gd name="T0" fmla="*/ 0 w 239750"/>
              <a:gd name="T1" fmla="*/ 0 h 9144"/>
              <a:gd name="T2" fmla="*/ 239750 w 239750"/>
              <a:gd name="T3" fmla="*/ 0 h 9144"/>
              <a:gd name="T4" fmla="*/ 239750 w 239750"/>
              <a:gd name="T5" fmla="*/ 9144 h 9144"/>
              <a:gd name="T6" fmla="*/ 0 w 239750"/>
              <a:gd name="T7" fmla="*/ 9144 h 9144"/>
              <a:gd name="T8" fmla="*/ 0 w 239750"/>
              <a:gd name="T9" fmla="*/ 0 h 9144"/>
              <a:gd name="T10" fmla="*/ 0 w 239750"/>
              <a:gd name="T11" fmla="*/ 0 h 9144"/>
              <a:gd name="T12" fmla="*/ 239750 w 239750"/>
              <a:gd name="T13" fmla="*/ 9144 h 9144"/>
            </a:gdLst>
            <a:ahLst/>
            <a:cxnLst>
              <a:cxn ang="0">
                <a:pos x="T0" y="T1"/>
              </a:cxn>
              <a:cxn ang="0">
                <a:pos x="T2" y="T3"/>
              </a:cxn>
              <a:cxn ang="0">
                <a:pos x="T4" y="T5"/>
              </a:cxn>
              <a:cxn ang="0">
                <a:pos x="T6" y="T7"/>
              </a:cxn>
              <a:cxn ang="0">
                <a:pos x="T8" y="T9"/>
              </a:cxn>
            </a:cxnLst>
            <a:rect l="T10" t="T11" r="T12" b="T13"/>
            <a:pathLst>
              <a:path w="239750" h="9144">
                <a:moveTo>
                  <a:pt x="0" y="0"/>
                </a:moveTo>
                <a:lnTo>
                  <a:pt x="239750" y="0"/>
                </a:lnTo>
                <a:lnTo>
                  <a:pt x="239750"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twoCellAnchor>
    <xdr:from>
      <xdr:col>1</xdr:col>
      <xdr:colOff>184150</xdr:colOff>
      <xdr:row>122</xdr:row>
      <xdr:rowOff>95250</xdr:rowOff>
    </xdr:from>
    <xdr:to>
      <xdr:col>1</xdr:col>
      <xdr:colOff>438150</xdr:colOff>
      <xdr:row>122</xdr:row>
      <xdr:rowOff>101600</xdr:rowOff>
    </xdr:to>
    <xdr:grpSp>
      <xdr:nvGrpSpPr>
        <xdr:cNvPr id="5129" name="Group 97803">
          <a:extLst>
            <a:ext uri="{FF2B5EF4-FFF2-40B4-BE49-F238E27FC236}">
              <a16:creationId xmlns:a16="http://schemas.microsoft.com/office/drawing/2014/main" id="{F37718D2-C81A-4CD2-4203-1A3FA8BF8D1F}"/>
            </a:ext>
          </a:extLst>
        </xdr:cNvPr>
        <xdr:cNvGrpSpPr>
          <a:grpSpLocks/>
        </xdr:cNvGrpSpPr>
      </xdr:nvGrpSpPr>
      <xdr:grpSpPr bwMode="auto">
        <a:xfrm>
          <a:off x="1651778" y="5645020"/>
          <a:ext cx="254000" cy="6350"/>
          <a:chOff x="0" y="0"/>
          <a:chExt cx="251282" cy="4318"/>
        </a:xfrm>
      </xdr:grpSpPr>
      <xdr:sp macro="" textlink="">
        <xdr:nvSpPr>
          <xdr:cNvPr id="5130" name="Shape 107849">
            <a:extLst>
              <a:ext uri="{FF2B5EF4-FFF2-40B4-BE49-F238E27FC236}">
                <a16:creationId xmlns:a16="http://schemas.microsoft.com/office/drawing/2014/main" id="{B63CC72F-FE52-0183-2D90-BC2FC551FE8E}"/>
              </a:ext>
            </a:extLst>
          </xdr:cNvPr>
          <xdr:cNvSpPr>
            <a:spLocks/>
          </xdr:cNvSpPr>
        </xdr:nvSpPr>
        <xdr:spPr bwMode="auto">
          <a:xfrm>
            <a:off x="0" y="0"/>
            <a:ext cx="251282" cy="9144"/>
          </a:xfrm>
          <a:custGeom>
            <a:avLst/>
            <a:gdLst>
              <a:gd name="T0" fmla="*/ 0 w 251282"/>
              <a:gd name="T1" fmla="*/ 0 h 9144"/>
              <a:gd name="T2" fmla="*/ 251282 w 251282"/>
              <a:gd name="T3" fmla="*/ 0 h 9144"/>
              <a:gd name="T4" fmla="*/ 251282 w 251282"/>
              <a:gd name="T5" fmla="*/ 9144 h 9144"/>
              <a:gd name="T6" fmla="*/ 0 w 251282"/>
              <a:gd name="T7" fmla="*/ 9144 h 9144"/>
              <a:gd name="T8" fmla="*/ 0 w 251282"/>
              <a:gd name="T9" fmla="*/ 0 h 9144"/>
              <a:gd name="T10" fmla="*/ 0 w 251282"/>
              <a:gd name="T11" fmla="*/ 0 h 9144"/>
              <a:gd name="T12" fmla="*/ 251282 w 251282"/>
              <a:gd name="T13" fmla="*/ 9144 h 9144"/>
            </a:gdLst>
            <a:ahLst/>
            <a:cxnLst>
              <a:cxn ang="0">
                <a:pos x="T0" y="T1"/>
              </a:cxn>
              <a:cxn ang="0">
                <a:pos x="T2" y="T3"/>
              </a:cxn>
              <a:cxn ang="0">
                <a:pos x="T4" y="T5"/>
              </a:cxn>
              <a:cxn ang="0">
                <a:pos x="T6" y="T7"/>
              </a:cxn>
              <a:cxn ang="0">
                <a:pos x="T8" y="T9"/>
              </a:cxn>
            </a:cxnLst>
            <a:rect l="T10" t="T11" r="T12" b="T13"/>
            <a:pathLst>
              <a:path w="251282" h="9144">
                <a:moveTo>
                  <a:pt x="0" y="0"/>
                </a:moveTo>
                <a:lnTo>
                  <a:pt x="251282" y="0"/>
                </a:lnTo>
                <a:lnTo>
                  <a:pt x="251282"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twoCellAnchor>
    <xdr:from>
      <xdr:col>6</xdr:col>
      <xdr:colOff>215900</xdr:colOff>
      <xdr:row>122</xdr:row>
      <xdr:rowOff>190500</xdr:rowOff>
    </xdr:from>
    <xdr:to>
      <xdr:col>6</xdr:col>
      <xdr:colOff>501650</xdr:colOff>
      <xdr:row>122</xdr:row>
      <xdr:rowOff>190500</xdr:rowOff>
    </xdr:to>
    <xdr:grpSp>
      <xdr:nvGrpSpPr>
        <xdr:cNvPr id="5126" name="Group 97546">
          <a:extLst>
            <a:ext uri="{FF2B5EF4-FFF2-40B4-BE49-F238E27FC236}">
              <a16:creationId xmlns:a16="http://schemas.microsoft.com/office/drawing/2014/main" id="{022AF358-E62C-0122-176C-2F79A60EE6A8}"/>
            </a:ext>
          </a:extLst>
        </xdr:cNvPr>
        <xdr:cNvGrpSpPr>
          <a:grpSpLocks/>
        </xdr:cNvGrpSpPr>
      </xdr:nvGrpSpPr>
      <xdr:grpSpPr bwMode="auto">
        <a:xfrm>
          <a:off x="10975262" y="5740270"/>
          <a:ext cx="285750" cy="0"/>
          <a:chOff x="0" y="0"/>
          <a:chExt cx="284404" cy="5042"/>
        </a:xfrm>
      </xdr:grpSpPr>
      <xdr:sp macro="" textlink="">
        <xdr:nvSpPr>
          <xdr:cNvPr id="5133" name="Shape 107843">
            <a:extLst>
              <a:ext uri="{FF2B5EF4-FFF2-40B4-BE49-F238E27FC236}">
                <a16:creationId xmlns:a16="http://schemas.microsoft.com/office/drawing/2014/main" id="{3363684B-5459-DABA-C13D-A0D9A767E2CA}"/>
              </a:ext>
            </a:extLst>
          </xdr:cNvPr>
          <xdr:cNvSpPr>
            <a:spLocks/>
          </xdr:cNvSpPr>
        </xdr:nvSpPr>
        <xdr:spPr bwMode="auto">
          <a:xfrm>
            <a:off x="0" y="0"/>
            <a:ext cx="284404" cy="9144"/>
          </a:xfrm>
          <a:custGeom>
            <a:avLst/>
            <a:gdLst>
              <a:gd name="T0" fmla="*/ 0 w 284404"/>
              <a:gd name="T1" fmla="*/ 0 h 9144"/>
              <a:gd name="T2" fmla="*/ 284404 w 284404"/>
              <a:gd name="T3" fmla="*/ 0 h 9144"/>
              <a:gd name="T4" fmla="*/ 284404 w 284404"/>
              <a:gd name="T5" fmla="*/ 9144 h 9144"/>
              <a:gd name="T6" fmla="*/ 0 w 284404"/>
              <a:gd name="T7" fmla="*/ 9144 h 9144"/>
              <a:gd name="T8" fmla="*/ 0 w 284404"/>
              <a:gd name="T9" fmla="*/ 0 h 9144"/>
              <a:gd name="T10" fmla="*/ 0 w 284404"/>
              <a:gd name="T11" fmla="*/ 0 h 9144"/>
              <a:gd name="T12" fmla="*/ 284404 w 284404"/>
              <a:gd name="T13" fmla="*/ 9144 h 9144"/>
            </a:gdLst>
            <a:ahLst/>
            <a:cxnLst>
              <a:cxn ang="0">
                <a:pos x="T0" y="T1"/>
              </a:cxn>
              <a:cxn ang="0">
                <a:pos x="T2" y="T3"/>
              </a:cxn>
              <a:cxn ang="0">
                <a:pos x="T4" y="T5"/>
              </a:cxn>
              <a:cxn ang="0">
                <a:pos x="T6" y="T7"/>
              </a:cxn>
              <a:cxn ang="0">
                <a:pos x="T8" y="T9"/>
              </a:cxn>
            </a:cxnLst>
            <a:rect l="T10" t="T11" r="T12" b="T13"/>
            <a:pathLst>
              <a:path w="284404" h="9144">
                <a:moveTo>
                  <a:pt x="0" y="0"/>
                </a:moveTo>
                <a:lnTo>
                  <a:pt x="284404" y="0"/>
                </a:lnTo>
                <a:lnTo>
                  <a:pt x="284404"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twoCellAnchor>
    <xdr:from>
      <xdr:col>12</xdr:col>
      <xdr:colOff>431800</xdr:colOff>
      <xdr:row>121</xdr:row>
      <xdr:rowOff>222250</xdr:rowOff>
    </xdr:from>
    <xdr:to>
      <xdr:col>12</xdr:col>
      <xdr:colOff>635000</xdr:colOff>
      <xdr:row>121</xdr:row>
      <xdr:rowOff>228600</xdr:rowOff>
    </xdr:to>
    <xdr:grpSp>
      <xdr:nvGrpSpPr>
        <xdr:cNvPr id="5127" name="Group 97631">
          <a:extLst>
            <a:ext uri="{FF2B5EF4-FFF2-40B4-BE49-F238E27FC236}">
              <a16:creationId xmlns:a16="http://schemas.microsoft.com/office/drawing/2014/main" id="{FA4B3F4F-5B17-E4D7-A0E0-8AA9E28D8B4F}"/>
            </a:ext>
          </a:extLst>
        </xdr:cNvPr>
        <xdr:cNvGrpSpPr>
          <a:grpSpLocks/>
        </xdr:cNvGrpSpPr>
      </xdr:nvGrpSpPr>
      <xdr:grpSpPr bwMode="auto">
        <a:xfrm>
          <a:off x="17100550" y="5286051"/>
          <a:ext cx="203200" cy="6350"/>
          <a:chOff x="0" y="0"/>
          <a:chExt cx="203759" cy="5042"/>
        </a:xfrm>
      </xdr:grpSpPr>
      <xdr:sp macro="" textlink="">
        <xdr:nvSpPr>
          <xdr:cNvPr id="5132" name="Shape 107845">
            <a:extLst>
              <a:ext uri="{FF2B5EF4-FFF2-40B4-BE49-F238E27FC236}">
                <a16:creationId xmlns:a16="http://schemas.microsoft.com/office/drawing/2014/main" id="{5F7DA9E7-4CB6-F1EA-2D3E-5D1FE44A273D}"/>
              </a:ext>
            </a:extLst>
          </xdr:cNvPr>
          <xdr:cNvSpPr>
            <a:spLocks/>
          </xdr:cNvSpPr>
        </xdr:nvSpPr>
        <xdr:spPr bwMode="auto">
          <a:xfrm>
            <a:off x="0" y="0"/>
            <a:ext cx="203759" cy="9144"/>
          </a:xfrm>
          <a:custGeom>
            <a:avLst/>
            <a:gdLst>
              <a:gd name="T0" fmla="*/ 0 w 203759"/>
              <a:gd name="T1" fmla="*/ 0 h 9144"/>
              <a:gd name="T2" fmla="*/ 203759 w 203759"/>
              <a:gd name="T3" fmla="*/ 0 h 9144"/>
              <a:gd name="T4" fmla="*/ 203759 w 203759"/>
              <a:gd name="T5" fmla="*/ 9144 h 9144"/>
              <a:gd name="T6" fmla="*/ 0 w 203759"/>
              <a:gd name="T7" fmla="*/ 9144 h 9144"/>
              <a:gd name="T8" fmla="*/ 0 w 203759"/>
              <a:gd name="T9" fmla="*/ 0 h 9144"/>
              <a:gd name="T10" fmla="*/ 0 w 203759"/>
              <a:gd name="T11" fmla="*/ 0 h 9144"/>
              <a:gd name="T12" fmla="*/ 203759 w 203759"/>
              <a:gd name="T13" fmla="*/ 9144 h 9144"/>
            </a:gdLst>
            <a:ahLst/>
            <a:cxnLst>
              <a:cxn ang="0">
                <a:pos x="T0" y="T1"/>
              </a:cxn>
              <a:cxn ang="0">
                <a:pos x="T2" y="T3"/>
              </a:cxn>
              <a:cxn ang="0">
                <a:pos x="T4" y="T5"/>
              </a:cxn>
              <a:cxn ang="0">
                <a:pos x="T6" y="T7"/>
              </a:cxn>
              <a:cxn ang="0">
                <a:pos x="T8" y="T9"/>
              </a:cxn>
            </a:cxnLst>
            <a:rect l="T10" t="T11" r="T12" b="T13"/>
            <a:pathLst>
              <a:path w="203759" h="9144">
                <a:moveTo>
                  <a:pt x="0" y="0"/>
                </a:moveTo>
                <a:lnTo>
                  <a:pt x="203759" y="0"/>
                </a:lnTo>
                <a:lnTo>
                  <a:pt x="203759"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twoCellAnchor>
    <xdr:from>
      <xdr:col>1</xdr:col>
      <xdr:colOff>184150</xdr:colOff>
      <xdr:row>126</xdr:row>
      <xdr:rowOff>241300</xdr:rowOff>
    </xdr:from>
    <xdr:to>
      <xdr:col>1</xdr:col>
      <xdr:colOff>425450</xdr:colOff>
      <xdr:row>126</xdr:row>
      <xdr:rowOff>241300</xdr:rowOff>
    </xdr:to>
    <xdr:grpSp>
      <xdr:nvGrpSpPr>
        <xdr:cNvPr id="5136" name="Group 99388">
          <a:extLst>
            <a:ext uri="{FF2B5EF4-FFF2-40B4-BE49-F238E27FC236}">
              <a16:creationId xmlns:a16="http://schemas.microsoft.com/office/drawing/2014/main" id="{7863AA2A-CE0F-4441-59EB-CABE448A499E}"/>
            </a:ext>
          </a:extLst>
        </xdr:cNvPr>
        <xdr:cNvGrpSpPr>
          <a:grpSpLocks/>
        </xdr:cNvGrpSpPr>
      </xdr:nvGrpSpPr>
      <xdr:grpSpPr bwMode="auto">
        <a:xfrm>
          <a:off x="1651778" y="8104285"/>
          <a:ext cx="241300" cy="0"/>
          <a:chOff x="0" y="0"/>
          <a:chExt cx="239750" cy="5042"/>
        </a:xfrm>
      </xdr:grpSpPr>
      <xdr:sp macro="" textlink="">
        <xdr:nvSpPr>
          <xdr:cNvPr id="5139" name="Shape 107855">
            <a:extLst>
              <a:ext uri="{FF2B5EF4-FFF2-40B4-BE49-F238E27FC236}">
                <a16:creationId xmlns:a16="http://schemas.microsoft.com/office/drawing/2014/main" id="{ABFAA0C5-29BB-9B1E-CBEB-5D39EC566E94}"/>
              </a:ext>
            </a:extLst>
          </xdr:cNvPr>
          <xdr:cNvSpPr>
            <a:spLocks/>
          </xdr:cNvSpPr>
        </xdr:nvSpPr>
        <xdr:spPr bwMode="auto">
          <a:xfrm>
            <a:off x="0" y="0"/>
            <a:ext cx="239750" cy="9144"/>
          </a:xfrm>
          <a:custGeom>
            <a:avLst/>
            <a:gdLst>
              <a:gd name="T0" fmla="*/ 0 w 239750"/>
              <a:gd name="T1" fmla="*/ 0 h 9144"/>
              <a:gd name="T2" fmla="*/ 239750 w 239750"/>
              <a:gd name="T3" fmla="*/ 0 h 9144"/>
              <a:gd name="T4" fmla="*/ 239750 w 239750"/>
              <a:gd name="T5" fmla="*/ 9144 h 9144"/>
              <a:gd name="T6" fmla="*/ 0 w 239750"/>
              <a:gd name="T7" fmla="*/ 9144 h 9144"/>
              <a:gd name="T8" fmla="*/ 0 w 239750"/>
              <a:gd name="T9" fmla="*/ 0 h 9144"/>
              <a:gd name="T10" fmla="*/ 0 w 239750"/>
              <a:gd name="T11" fmla="*/ 0 h 9144"/>
              <a:gd name="T12" fmla="*/ 239750 w 239750"/>
              <a:gd name="T13" fmla="*/ 9144 h 9144"/>
            </a:gdLst>
            <a:ahLst/>
            <a:cxnLst>
              <a:cxn ang="0">
                <a:pos x="T0" y="T1"/>
              </a:cxn>
              <a:cxn ang="0">
                <a:pos x="T2" y="T3"/>
              </a:cxn>
              <a:cxn ang="0">
                <a:pos x="T4" y="T5"/>
              </a:cxn>
              <a:cxn ang="0">
                <a:pos x="T6" y="T7"/>
              </a:cxn>
              <a:cxn ang="0">
                <a:pos x="T8" y="T9"/>
              </a:cxn>
            </a:cxnLst>
            <a:rect l="T10" t="T11" r="T12" b="T13"/>
            <a:pathLst>
              <a:path w="239750" h="9144">
                <a:moveTo>
                  <a:pt x="0" y="0"/>
                </a:moveTo>
                <a:lnTo>
                  <a:pt x="239750" y="0"/>
                </a:lnTo>
                <a:lnTo>
                  <a:pt x="239750"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twoCellAnchor>
    <xdr:from>
      <xdr:col>1</xdr:col>
      <xdr:colOff>184150</xdr:colOff>
      <xdr:row>126</xdr:row>
      <xdr:rowOff>241300</xdr:rowOff>
    </xdr:from>
    <xdr:to>
      <xdr:col>1</xdr:col>
      <xdr:colOff>438150</xdr:colOff>
      <xdr:row>126</xdr:row>
      <xdr:rowOff>241300</xdr:rowOff>
    </xdr:to>
    <xdr:grpSp>
      <xdr:nvGrpSpPr>
        <xdr:cNvPr id="5137" name="Group 99524">
          <a:extLst>
            <a:ext uri="{FF2B5EF4-FFF2-40B4-BE49-F238E27FC236}">
              <a16:creationId xmlns:a16="http://schemas.microsoft.com/office/drawing/2014/main" id="{65E89C04-7044-8F6F-537C-2CD741D6E765}"/>
            </a:ext>
          </a:extLst>
        </xdr:cNvPr>
        <xdr:cNvGrpSpPr>
          <a:grpSpLocks/>
        </xdr:cNvGrpSpPr>
      </xdr:nvGrpSpPr>
      <xdr:grpSpPr bwMode="auto">
        <a:xfrm>
          <a:off x="1651778" y="8104285"/>
          <a:ext cx="254000" cy="0"/>
          <a:chOff x="0" y="0"/>
          <a:chExt cx="251282" cy="5042"/>
        </a:xfrm>
      </xdr:grpSpPr>
      <xdr:sp macro="" textlink="">
        <xdr:nvSpPr>
          <xdr:cNvPr id="5138" name="Shape 107857">
            <a:extLst>
              <a:ext uri="{FF2B5EF4-FFF2-40B4-BE49-F238E27FC236}">
                <a16:creationId xmlns:a16="http://schemas.microsoft.com/office/drawing/2014/main" id="{28614186-6B7D-D039-27B1-B9A75F9D1813}"/>
              </a:ext>
            </a:extLst>
          </xdr:cNvPr>
          <xdr:cNvSpPr>
            <a:spLocks/>
          </xdr:cNvSpPr>
        </xdr:nvSpPr>
        <xdr:spPr bwMode="auto">
          <a:xfrm>
            <a:off x="0" y="0"/>
            <a:ext cx="251282" cy="9144"/>
          </a:xfrm>
          <a:custGeom>
            <a:avLst/>
            <a:gdLst>
              <a:gd name="T0" fmla="*/ 0 w 251282"/>
              <a:gd name="T1" fmla="*/ 0 h 9144"/>
              <a:gd name="T2" fmla="*/ 251282 w 251282"/>
              <a:gd name="T3" fmla="*/ 0 h 9144"/>
              <a:gd name="T4" fmla="*/ 251282 w 251282"/>
              <a:gd name="T5" fmla="*/ 9144 h 9144"/>
              <a:gd name="T6" fmla="*/ 0 w 251282"/>
              <a:gd name="T7" fmla="*/ 9144 h 9144"/>
              <a:gd name="T8" fmla="*/ 0 w 251282"/>
              <a:gd name="T9" fmla="*/ 0 h 9144"/>
              <a:gd name="T10" fmla="*/ 0 w 251282"/>
              <a:gd name="T11" fmla="*/ 0 h 9144"/>
              <a:gd name="T12" fmla="*/ 251282 w 251282"/>
              <a:gd name="T13" fmla="*/ 9144 h 9144"/>
            </a:gdLst>
            <a:ahLst/>
            <a:cxnLst>
              <a:cxn ang="0">
                <a:pos x="T0" y="T1"/>
              </a:cxn>
              <a:cxn ang="0">
                <a:pos x="T2" y="T3"/>
              </a:cxn>
              <a:cxn ang="0">
                <a:pos x="T4" y="T5"/>
              </a:cxn>
              <a:cxn ang="0">
                <a:pos x="T6" y="T7"/>
              </a:cxn>
              <a:cxn ang="0">
                <a:pos x="T8" y="T9"/>
              </a:cxn>
            </a:cxnLst>
            <a:rect l="T10" t="T11" r="T12" b="T13"/>
            <a:pathLst>
              <a:path w="251282" h="9144">
                <a:moveTo>
                  <a:pt x="0" y="0"/>
                </a:moveTo>
                <a:lnTo>
                  <a:pt x="251282" y="0"/>
                </a:lnTo>
                <a:lnTo>
                  <a:pt x="251282"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twoCellAnchor>
    <xdr:from>
      <xdr:col>6</xdr:col>
      <xdr:colOff>215900</xdr:colOff>
      <xdr:row>126</xdr:row>
      <xdr:rowOff>241300</xdr:rowOff>
    </xdr:from>
    <xdr:to>
      <xdr:col>6</xdr:col>
      <xdr:colOff>501650</xdr:colOff>
      <xdr:row>126</xdr:row>
      <xdr:rowOff>241300</xdr:rowOff>
    </xdr:to>
    <xdr:grpSp>
      <xdr:nvGrpSpPr>
        <xdr:cNvPr id="5134" name="Group 99128">
          <a:extLst>
            <a:ext uri="{FF2B5EF4-FFF2-40B4-BE49-F238E27FC236}">
              <a16:creationId xmlns:a16="http://schemas.microsoft.com/office/drawing/2014/main" id="{D61EABA6-EC1E-A805-45ED-2C45AAF82CFA}"/>
            </a:ext>
          </a:extLst>
        </xdr:cNvPr>
        <xdr:cNvGrpSpPr>
          <a:grpSpLocks/>
        </xdr:cNvGrpSpPr>
      </xdr:nvGrpSpPr>
      <xdr:grpSpPr bwMode="auto">
        <a:xfrm>
          <a:off x="10975262" y="8104285"/>
          <a:ext cx="285750" cy="0"/>
          <a:chOff x="0" y="0"/>
          <a:chExt cx="284404" cy="5029"/>
        </a:xfrm>
      </xdr:grpSpPr>
      <xdr:sp macro="" textlink="">
        <xdr:nvSpPr>
          <xdr:cNvPr id="5141" name="Shape 107851">
            <a:extLst>
              <a:ext uri="{FF2B5EF4-FFF2-40B4-BE49-F238E27FC236}">
                <a16:creationId xmlns:a16="http://schemas.microsoft.com/office/drawing/2014/main" id="{3643003A-1213-724F-8043-24E73BAA2F8A}"/>
              </a:ext>
            </a:extLst>
          </xdr:cNvPr>
          <xdr:cNvSpPr>
            <a:spLocks/>
          </xdr:cNvSpPr>
        </xdr:nvSpPr>
        <xdr:spPr bwMode="auto">
          <a:xfrm>
            <a:off x="0" y="0"/>
            <a:ext cx="284404" cy="9144"/>
          </a:xfrm>
          <a:custGeom>
            <a:avLst/>
            <a:gdLst>
              <a:gd name="T0" fmla="*/ 0 w 284404"/>
              <a:gd name="T1" fmla="*/ 0 h 9144"/>
              <a:gd name="T2" fmla="*/ 284404 w 284404"/>
              <a:gd name="T3" fmla="*/ 0 h 9144"/>
              <a:gd name="T4" fmla="*/ 284404 w 284404"/>
              <a:gd name="T5" fmla="*/ 9144 h 9144"/>
              <a:gd name="T6" fmla="*/ 0 w 284404"/>
              <a:gd name="T7" fmla="*/ 9144 h 9144"/>
              <a:gd name="T8" fmla="*/ 0 w 284404"/>
              <a:gd name="T9" fmla="*/ 0 h 9144"/>
              <a:gd name="T10" fmla="*/ 0 w 284404"/>
              <a:gd name="T11" fmla="*/ 0 h 9144"/>
              <a:gd name="T12" fmla="*/ 284404 w 284404"/>
              <a:gd name="T13" fmla="*/ 9144 h 9144"/>
            </a:gdLst>
            <a:ahLst/>
            <a:cxnLst>
              <a:cxn ang="0">
                <a:pos x="T0" y="T1"/>
              </a:cxn>
              <a:cxn ang="0">
                <a:pos x="T2" y="T3"/>
              </a:cxn>
              <a:cxn ang="0">
                <a:pos x="T4" y="T5"/>
              </a:cxn>
              <a:cxn ang="0">
                <a:pos x="T6" y="T7"/>
              </a:cxn>
              <a:cxn ang="0">
                <a:pos x="T8" y="T9"/>
              </a:cxn>
            </a:cxnLst>
            <a:rect l="T10" t="T11" r="T12" b="T13"/>
            <a:pathLst>
              <a:path w="284404" h="9144">
                <a:moveTo>
                  <a:pt x="0" y="0"/>
                </a:moveTo>
                <a:lnTo>
                  <a:pt x="284404" y="0"/>
                </a:lnTo>
                <a:lnTo>
                  <a:pt x="284404"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twoCellAnchor>
    <xdr:from>
      <xdr:col>8</xdr:col>
      <xdr:colOff>285750</xdr:colOff>
      <xdr:row>126</xdr:row>
      <xdr:rowOff>241300</xdr:rowOff>
    </xdr:from>
    <xdr:to>
      <xdr:col>8</xdr:col>
      <xdr:colOff>488950</xdr:colOff>
      <xdr:row>126</xdr:row>
      <xdr:rowOff>241300</xdr:rowOff>
    </xdr:to>
    <xdr:grpSp>
      <xdr:nvGrpSpPr>
        <xdr:cNvPr id="5135" name="Group 99283">
          <a:extLst>
            <a:ext uri="{FF2B5EF4-FFF2-40B4-BE49-F238E27FC236}">
              <a16:creationId xmlns:a16="http://schemas.microsoft.com/office/drawing/2014/main" id="{0DC73318-8182-DA01-A8F3-A6820C717805}"/>
            </a:ext>
          </a:extLst>
        </xdr:cNvPr>
        <xdr:cNvGrpSpPr>
          <a:grpSpLocks/>
        </xdr:cNvGrpSpPr>
      </xdr:nvGrpSpPr>
      <xdr:grpSpPr bwMode="auto">
        <a:xfrm>
          <a:off x="13086184" y="8104285"/>
          <a:ext cx="203200" cy="0"/>
          <a:chOff x="0" y="0"/>
          <a:chExt cx="203759" cy="5042"/>
        </a:xfrm>
      </xdr:grpSpPr>
      <xdr:sp macro="" textlink="">
        <xdr:nvSpPr>
          <xdr:cNvPr id="5140" name="Shape 107853">
            <a:extLst>
              <a:ext uri="{FF2B5EF4-FFF2-40B4-BE49-F238E27FC236}">
                <a16:creationId xmlns:a16="http://schemas.microsoft.com/office/drawing/2014/main" id="{03FFAA67-40AF-6451-28E2-3521933C8B21}"/>
              </a:ext>
            </a:extLst>
          </xdr:cNvPr>
          <xdr:cNvSpPr>
            <a:spLocks/>
          </xdr:cNvSpPr>
        </xdr:nvSpPr>
        <xdr:spPr bwMode="auto">
          <a:xfrm>
            <a:off x="0" y="0"/>
            <a:ext cx="203759" cy="9144"/>
          </a:xfrm>
          <a:custGeom>
            <a:avLst/>
            <a:gdLst>
              <a:gd name="T0" fmla="*/ 0 w 203759"/>
              <a:gd name="T1" fmla="*/ 0 h 9144"/>
              <a:gd name="T2" fmla="*/ 203759 w 203759"/>
              <a:gd name="T3" fmla="*/ 0 h 9144"/>
              <a:gd name="T4" fmla="*/ 203759 w 203759"/>
              <a:gd name="T5" fmla="*/ 9144 h 9144"/>
              <a:gd name="T6" fmla="*/ 0 w 203759"/>
              <a:gd name="T7" fmla="*/ 9144 h 9144"/>
              <a:gd name="T8" fmla="*/ 0 w 203759"/>
              <a:gd name="T9" fmla="*/ 0 h 9144"/>
              <a:gd name="T10" fmla="*/ 0 w 203759"/>
              <a:gd name="T11" fmla="*/ 0 h 9144"/>
              <a:gd name="T12" fmla="*/ 203759 w 203759"/>
              <a:gd name="T13" fmla="*/ 9144 h 9144"/>
            </a:gdLst>
            <a:ahLst/>
            <a:cxnLst>
              <a:cxn ang="0">
                <a:pos x="T0" y="T1"/>
              </a:cxn>
              <a:cxn ang="0">
                <a:pos x="T2" y="T3"/>
              </a:cxn>
              <a:cxn ang="0">
                <a:pos x="T4" y="T5"/>
              </a:cxn>
              <a:cxn ang="0">
                <a:pos x="T6" y="T7"/>
              </a:cxn>
              <a:cxn ang="0">
                <a:pos x="T8" y="T9"/>
              </a:cxn>
            </a:cxnLst>
            <a:rect l="T10" t="T11" r="T12" b="T13"/>
            <a:pathLst>
              <a:path w="203759" h="9144">
                <a:moveTo>
                  <a:pt x="0" y="0"/>
                </a:moveTo>
                <a:lnTo>
                  <a:pt x="203759" y="0"/>
                </a:lnTo>
                <a:lnTo>
                  <a:pt x="203759"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twoCellAnchor>
    <xdr:from>
      <xdr:col>1</xdr:col>
      <xdr:colOff>184150</xdr:colOff>
      <xdr:row>153</xdr:row>
      <xdr:rowOff>260350</xdr:rowOff>
    </xdr:from>
    <xdr:to>
      <xdr:col>1</xdr:col>
      <xdr:colOff>425450</xdr:colOff>
      <xdr:row>153</xdr:row>
      <xdr:rowOff>260350</xdr:rowOff>
    </xdr:to>
    <xdr:grpSp>
      <xdr:nvGrpSpPr>
        <xdr:cNvPr id="5154" name="Group 104546">
          <a:extLst>
            <a:ext uri="{FF2B5EF4-FFF2-40B4-BE49-F238E27FC236}">
              <a16:creationId xmlns:a16="http://schemas.microsoft.com/office/drawing/2014/main" id="{BD37DCB5-5A2F-E063-6563-B91D73B2E886}"/>
            </a:ext>
          </a:extLst>
        </xdr:cNvPr>
        <xdr:cNvGrpSpPr>
          <a:grpSpLocks/>
        </xdr:cNvGrpSpPr>
      </xdr:nvGrpSpPr>
      <xdr:grpSpPr bwMode="auto">
        <a:xfrm>
          <a:off x="1651778" y="27707901"/>
          <a:ext cx="241300" cy="0"/>
          <a:chOff x="0" y="0"/>
          <a:chExt cx="239750" cy="5042"/>
        </a:xfrm>
      </xdr:grpSpPr>
      <xdr:sp macro="" textlink="">
        <xdr:nvSpPr>
          <xdr:cNvPr id="5157" name="Shape 107881">
            <a:extLst>
              <a:ext uri="{FF2B5EF4-FFF2-40B4-BE49-F238E27FC236}">
                <a16:creationId xmlns:a16="http://schemas.microsoft.com/office/drawing/2014/main" id="{0E3CF13E-1103-517B-1B74-8F7071F68470}"/>
              </a:ext>
            </a:extLst>
          </xdr:cNvPr>
          <xdr:cNvSpPr>
            <a:spLocks/>
          </xdr:cNvSpPr>
        </xdr:nvSpPr>
        <xdr:spPr bwMode="auto">
          <a:xfrm>
            <a:off x="0" y="0"/>
            <a:ext cx="239750" cy="9144"/>
          </a:xfrm>
          <a:custGeom>
            <a:avLst/>
            <a:gdLst>
              <a:gd name="T0" fmla="*/ 0 w 239750"/>
              <a:gd name="T1" fmla="*/ 0 h 9144"/>
              <a:gd name="T2" fmla="*/ 239750 w 239750"/>
              <a:gd name="T3" fmla="*/ 0 h 9144"/>
              <a:gd name="T4" fmla="*/ 239750 w 239750"/>
              <a:gd name="T5" fmla="*/ 9144 h 9144"/>
              <a:gd name="T6" fmla="*/ 0 w 239750"/>
              <a:gd name="T7" fmla="*/ 9144 h 9144"/>
              <a:gd name="T8" fmla="*/ 0 w 239750"/>
              <a:gd name="T9" fmla="*/ 0 h 9144"/>
              <a:gd name="T10" fmla="*/ 0 w 239750"/>
              <a:gd name="T11" fmla="*/ 0 h 9144"/>
              <a:gd name="T12" fmla="*/ 239750 w 239750"/>
              <a:gd name="T13" fmla="*/ 9144 h 9144"/>
            </a:gdLst>
            <a:ahLst/>
            <a:cxnLst>
              <a:cxn ang="0">
                <a:pos x="T0" y="T1"/>
              </a:cxn>
              <a:cxn ang="0">
                <a:pos x="T2" y="T3"/>
              </a:cxn>
              <a:cxn ang="0">
                <a:pos x="T4" y="T5"/>
              </a:cxn>
              <a:cxn ang="0">
                <a:pos x="T6" y="T7"/>
              </a:cxn>
              <a:cxn ang="0">
                <a:pos x="T8" y="T9"/>
              </a:cxn>
            </a:cxnLst>
            <a:rect l="T10" t="T11" r="T12" b="T13"/>
            <a:pathLst>
              <a:path w="239750" h="9144">
                <a:moveTo>
                  <a:pt x="0" y="0"/>
                </a:moveTo>
                <a:lnTo>
                  <a:pt x="239750" y="0"/>
                </a:lnTo>
                <a:lnTo>
                  <a:pt x="239750"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twoCellAnchor>
    <xdr:from>
      <xdr:col>1</xdr:col>
      <xdr:colOff>184150</xdr:colOff>
      <xdr:row>153</xdr:row>
      <xdr:rowOff>260350</xdr:rowOff>
    </xdr:from>
    <xdr:to>
      <xdr:col>1</xdr:col>
      <xdr:colOff>438150</xdr:colOff>
      <xdr:row>153</xdr:row>
      <xdr:rowOff>260350</xdr:rowOff>
    </xdr:to>
    <xdr:grpSp>
      <xdr:nvGrpSpPr>
        <xdr:cNvPr id="5155" name="Group 104580">
          <a:extLst>
            <a:ext uri="{FF2B5EF4-FFF2-40B4-BE49-F238E27FC236}">
              <a16:creationId xmlns:a16="http://schemas.microsoft.com/office/drawing/2014/main" id="{FE976060-2A86-61F5-8D52-7BD9B5D1DC8D}"/>
            </a:ext>
          </a:extLst>
        </xdr:cNvPr>
        <xdr:cNvGrpSpPr>
          <a:grpSpLocks/>
        </xdr:cNvGrpSpPr>
      </xdr:nvGrpSpPr>
      <xdr:grpSpPr bwMode="auto">
        <a:xfrm>
          <a:off x="1651778" y="27707901"/>
          <a:ext cx="254000" cy="0"/>
          <a:chOff x="0" y="0"/>
          <a:chExt cx="251282" cy="5042"/>
        </a:xfrm>
      </xdr:grpSpPr>
      <xdr:sp macro="" textlink="">
        <xdr:nvSpPr>
          <xdr:cNvPr id="5156" name="Shape 107883">
            <a:extLst>
              <a:ext uri="{FF2B5EF4-FFF2-40B4-BE49-F238E27FC236}">
                <a16:creationId xmlns:a16="http://schemas.microsoft.com/office/drawing/2014/main" id="{F2F6C0D3-F76E-544C-58A2-ABE279E199DD}"/>
              </a:ext>
            </a:extLst>
          </xdr:cNvPr>
          <xdr:cNvSpPr>
            <a:spLocks/>
          </xdr:cNvSpPr>
        </xdr:nvSpPr>
        <xdr:spPr bwMode="auto">
          <a:xfrm>
            <a:off x="0" y="0"/>
            <a:ext cx="251282" cy="9144"/>
          </a:xfrm>
          <a:custGeom>
            <a:avLst/>
            <a:gdLst>
              <a:gd name="T0" fmla="*/ 0 w 251282"/>
              <a:gd name="T1" fmla="*/ 0 h 9144"/>
              <a:gd name="T2" fmla="*/ 251282 w 251282"/>
              <a:gd name="T3" fmla="*/ 0 h 9144"/>
              <a:gd name="T4" fmla="*/ 251282 w 251282"/>
              <a:gd name="T5" fmla="*/ 9144 h 9144"/>
              <a:gd name="T6" fmla="*/ 0 w 251282"/>
              <a:gd name="T7" fmla="*/ 9144 h 9144"/>
              <a:gd name="T8" fmla="*/ 0 w 251282"/>
              <a:gd name="T9" fmla="*/ 0 h 9144"/>
              <a:gd name="T10" fmla="*/ 0 w 251282"/>
              <a:gd name="T11" fmla="*/ 0 h 9144"/>
              <a:gd name="T12" fmla="*/ 251282 w 251282"/>
              <a:gd name="T13" fmla="*/ 9144 h 9144"/>
            </a:gdLst>
            <a:ahLst/>
            <a:cxnLst>
              <a:cxn ang="0">
                <a:pos x="T0" y="T1"/>
              </a:cxn>
              <a:cxn ang="0">
                <a:pos x="T2" y="T3"/>
              </a:cxn>
              <a:cxn ang="0">
                <a:pos x="T4" y="T5"/>
              </a:cxn>
              <a:cxn ang="0">
                <a:pos x="T6" y="T7"/>
              </a:cxn>
              <a:cxn ang="0">
                <a:pos x="T8" y="T9"/>
              </a:cxn>
            </a:cxnLst>
            <a:rect l="T10" t="T11" r="T12" b="T13"/>
            <a:pathLst>
              <a:path w="251282" h="9144">
                <a:moveTo>
                  <a:pt x="0" y="0"/>
                </a:moveTo>
                <a:lnTo>
                  <a:pt x="251282" y="0"/>
                </a:lnTo>
                <a:lnTo>
                  <a:pt x="251282"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twoCellAnchor>
    <xdr:from>
      <xdr:col>6</xdr:col>
      <xdr:colOff>215900</xdr:colOff>
      <xdr:row>153</xdr:row>
      <xdr:rowOff>260350</xdr:rowOff>
    </xdr:from>
    <xdr:to>
      <xdr:col>6</xdr:col>
      <xdr:colOff>501650</xdr:colOff>
      <xdr:row>153</xdr:row>
      <xdr:rowOff>260350</xdr:rowOff>
    </xdr:to>
    <xdr:grpSp>
      <xdr:nvGrpSpPr>
        <xdr:cNvPr id="5152" name="Group 104478">
          <a:extLst>
            <a:ext uri="{FF2B5EF4-FFF2-40B4-BE49-F238E27FC236}">
              <a16:creationId xmlns:a16="http://schemas.microsoft.com/office/drawing/2014/main" id="{D3A2C464-82A2-340B-7AF9-1373FCFB70F9}"/>
            </a:ext>
          </a:extLst>
        </xdr:cNvPr>
        <xdr:cNvGrpSpPr>
          <a:grpSpLocks/>
        </xdr:cNvGrpSpPr>
      </xdr:nvGrpSpPr>
      <xdr:grpSpPr bwMode="auto">
        <a:xfrm>
          <a:off x="10975262" y="27707901"/>
          <a:ext cx="285750" cy="0"/>
          <a:chOff x="0" y="0"/>
          <a:chExt cx="284404" cy="5029"/>
        </a:xfrm>
      </xdr:grpSpPr>
      <xdr:sp macro="" textlink="">
        <xdr:nvSpPr>
          <xdr:cNvPr id="5159" name="Shape 107877">
            <a:extLst>
              <a:ext uri="{FF2B5EF4-FFF2-40B4-BE49-F238E27FC236}">
                <a16:creationId xmlns:a16="http://schemas.microsoft.com/office/drawing/2014/main" id="{FAD4F750-15E1-8E2E-29F0-7E7F5E3C969A}"/>
              </a:ext>
            </a:extLst>
          </xdr:cNvPr>
          <xdr:cNvSpPr>
            <a:spLocks/>
          </xdr:cNvSpPr>
        </xdr:nvSpPr>
        <xdr:spPr bwMode="auto">
          <a:xfrm>
            <a:off x="0" y="0"/>
            <a:ext cx="284404" cy="9144"/>
          </a:xfrm>
          <a:custGeom>
            <a:avLst/>
            <a:gdLst>
              <a:gd name="T0" fmla="*/ 0 w 284404"/>
              <a:gd name="T1" fmla="*/ 0 h 9144"/>
              <a:gd name="T2" fmla="*/ 284404 w 284404"/>
              <a:gd name="T3" fmla="*/ 0 h 9144"/>
              <a:gd name="T4" fmla="*/ 284404 w 284404"/>
              <a:gd name="T5" fmla="*/ 9144 h 9144"/>
              <a:gd name="T6" fmla="*/ 0 w 284404"/>
              <a:gd name="T7" fmla="*/ 9144 h 9144"/>
              <a:gd name="T8" fmla="*/ 0 w 284404"/>
              <a:gd name="T9" fmla="*/ 0 h 9144"/>
              <a:gd name="T10" fmla="*/ 0 w 284404"/>
              <a:gd name="T11" fmla="*/ 0 h 9144"/>
              <a:gd name="T12" fmla="*/ 284404 w 284404"/>
              <a:gd name="T13" fmla="*/ 9144 h 9144"/>
            </a:gdLst>
            <a:ahLst/>
            <a:cxnLst>
              <a:cxn ang="0">
                <a:pos x="T0" y="T1"/>
              </a:cxn>
              <a:cxn ang="0">
                <a:pos x="T2" y="T3"/>
              </a:cxn>
              <a:cxn ang="0">
                <a:pos x="T4" y="T5"/>
              </a:cxn>
              <a:cxn ang="0">
                <a:pos x="T6" y="T7"/>
              </a:cxn>
              <a:cxn ang="0">
                <a:pos x="T8" y="T9"/>
              </a:cxn>
            </a:cxnLst>
            <a:rect l="T10" t="T11" r="T12" b="T13"/>
            <a:pathLst>
              <a:path w="284404" h="9144">
                <a:moveTo>
                  <a:pt x="0" y="0"/>
                </a:moveTo>
                <a:lnTo>
                  <a:pt x="284404" y="0"/>
                </a:lnTo>
                <a:lnTo>
                  <a:pt x="284404"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twoCellAnchor>
    <xdr:from>
      <xdr:col>8</xdr:col>
      <xdr:colOff>285750</xdr:colOff>
      <xdr:row>153</xdr:row>
      <xdr:rowOff>260350</xdr:rowOff>
    </xdr:from>
    <xdr:to>
      <xdr:col>8</xdr:col>
      <xdr:colOff>488950</xdr:colOff>
      <xdr:row>153</xdr:row>
      <xdr:rowOff>260350</xdr:rowOff>
    </xdr:to>
    <xdr:grpSp>
      <xdr:nvGrpSpPr>
        <xdr:cNvPr id="5153" name="Group 104516">
          <a:extLst>
            <a:ext uri="{FF2B5EF4-FFF2-40B4-BE49-F238E27FC236}">
              <a16:creationId xmlns:a16="http://schemas.microsoft.com/office/drawing/2014/main" id="{E2DBEBDA-4F65-037F-90C3-43B42B8DED7B}"/>
            </a:ext>
          </a:extLst>
        </xdr:cNvPr>
        <xdr:cNvGrpSpPr>
          <a:grpSpLocks/>
        </xdr:cNvGrpSpPr>
      </xdr:nvGrpSpPr>
      <xdr:grpSpPr bwMode="auto">
        <a:xfrm>
          <a:off x="13086184" y="27707901"/>
          <a:ext cx="203200" cy="0"/>
          <a:chOff x="0" y="0"/>
          <a:chExt cx="203759" cy="5042"/>
        </a:xfrm>
      </xdr:grpSpPr>
      <xdr:sp macro="" textlink="">
        <xdr:nvSpPr>
          <xdr:cNvPr id="5158" name="Shape 107879">
            <a:extLst>
              <a:ext uri="{FF2B5EF4-FFF2-40B4-BE49-F238E27FC236}">
                <a16:creationId xmlns:a16="http://schemas.microsoft.com/office/drawing/2014/main" id="{397FCF10-915E-1A19-30A7-FDB49D56B125}"/>
              </a:ext>
            </a:extLst>
          </xdr:cNvPr>
          <xdr:cNvSpPr>
            <a:spLocks/>
          </xdr:cNvSpPr>
        </xdr:nvSpPr>
        <xdr:spPr bwMode="auto">
          <a:xfrm>
            <a:off x="0" y="0"/>
            <a:ext cx="203759" cy="9144"/>
          </a:xfrm>
          <a:custGeom>
            <a:avLst/>
            <a:gdLst>
              <a:gd name="T0" fmla="*/ 0 w 203759"/>
              <a:gd name="T1" fmla="*/ 0 h 9144"/>
              <a:gd name="T2" fmla="*/ 203759 w 203759"/>
              <a:gd name="T3" fmla="*/ 0 h 9144"/>
              <a:gd name="T4" fmla="*/ 203759 w 203759"/>
              <a:gd name="T5" fmla="*/ 9144 h 9144"/>
              <a:gd name="T6" fmla="*/ 0 w 203759"/>
              <a:gd name="T7" fmla="*/ 9144 h 9144"/>
              <a:gd name="T8" fmla="*/ 0 w 203759"/>
              <a:gd name="T9" fmla="*/ 0 h 9144"/>
              <a:gd name="T10" fmla="*/ 0 w 203759"/>
              <a:gd name="T11" fmla="*/ 0 h 9144"/>
              <a:gd name="T12" fmla="*/ 203759 w 203759"/>
              <a:gd name="T13" fmla="*/ 9144 h 9144"/>
            </a:gdLst>
            <a:ahLst/>
            <a:cxnLst>
              <a:cxn ang="0">
                <a:pos x="T0" y="T1"/>
              </a:cxn>
              <a:cxn ang="0">
                <a:pos x="T2" y="T3"/>
              </a:cxn>
              <a:cxn ang="0">
                <a:pos x="T4" y="T5"/>
              </a:cxn>
              <a:cxn ang="0">
                <a:pos x="T6" y="T7"/>
              </a:cxn>
              <a:cxn ang="0">
                <a:pos x="T8" y="T9"/>
              </a:cxn>
            </a:cxnLst>
            <a:rect l="T10" t="T11" r="T12" b="T13"/>
            <a:pathLst>
              <a:path w="203759" h="9144">
                <a:moveTo>
                  <a:pt x="0" y="0"/>
                </a:moveTo>
                <a:lnTo>
                  <a:pt x="203759" y="0"/>
                </a:lnTo>
                <a:lnTo>
                  <a:pt x="203759"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twoCellAnchor>
    <xdr:from>
      <xdr:col>2</xdr:col>
      <xdr:colOff>241300</xdr:colOff>
      <xdr:row>122</xdr:row>
      <xdr:rowOff>95250</xdr:rowOff>
    </xdr:from>
    <xdr:to>
      <xdr:col>2</xdr:col>
      <xdr:colOff>482600</xdr:colOff>
      <xdr:row>122</xdr:row>
      <xdr:rowOff>101600</xdr:rowOff>
    </xdr:to>
    <xdr:grpSp>
      <xdr:nvGrpSpPr>
        <xdr:cNvPr id="5164" name="Group 44">
          <a:extLst>
            <a:ext uri="{FF2B5EF4-FFF2-40B4-BE49-F238E27FC236}">
              <a16:creationId xmlns:a16="http://schemas.microsoft.com/office/drawing/2014/main" id="{A44FD8FC-CDE4-BEB2-46B4-7972B441908C}"/>
            </a:ext>
          </a:extLst>
        </xdr:cNvPr>
        <xdr:cNvGrpSpPr>
          <a:grpSpLocks/>
        </xdr:cNvGrpSpPr>
      </xdr:nvGrpSpPr>
      <xdr:grpSpPr bwMode="auto">
        <a:xfrm>
          <a:off x="4440076" y="5645020"/>
          <a:ext cx="241300" cy="6350"/>
          <a:chOff x="0" y="0"/>
          <a:chExt cx="239750" cy="4318"/>
        </a:xfrm>
      </xdr:grpSpPr>
      <xdr:sp macro="" textlink="">
        <xdr:nvSpPr>
          <xdr:cNvPr id="5165" name="Shape 107847">
            <a:extLst>
              <a:ext uri="{FF2B5EF4-FFF2-40B4-BE49-F238E27FC236}">
                <a16:creationId xmlns:a16="http://schemas.microsoft.com/office/drawing/2014/main" id="{FB45DC6E-5B9F-C7F9-AD60-032815358E4F}"/>
              </a:ext>
            </a:extLst>
          </xdr:cNvPr>
          <xdr:cNvSpPr>
            <a:spLocks/>
          </xdr:cNvSpPr>
        </xdr:nvSpPr>
        <xdr:spPr bwMode="auto">
          <a:xfrm>
            <a:off x="0" y="0"/>
            <a:ext cx="239750" cy="9144"/>
          </a:xfrm>
          <a:custGeom>
            <a:avLst/>
            <a:gdLst>
              <a:gd name="T0" fmla="*/ 0 w 239750"/>
              <a:gd name="T1" fmla="*/ 0 h 9144"/>
              <a:gd name="T2" fmla="*/ 239750 w 239750"/>
              <a:gd name="T3" fmla="*/ 0 h 9144"/>
              <a:gd name="T4" fmla="*/ 239750 w 239750"/>
              <a:gd name="T5" fmla="*/ 9144 h 9144"/>
              <a:gd name="T6" fmla="*/ 0 w 239750"/>
              <a:gd name="T7" fmla="*/ 9144 h 9144"/>
              <a:gd name="T8" fmla="*/ 0 w 239750"/>
              <a:gd name="T9" fmla="*/ 0 h 9144"/>
              <a:gd name="T10" fmla="*/ 0 w 239750"/>
              <a:gd name="T11" fmla="*/ 0 h 9144"/>
              <a:gd name="T12" fmla="*/ 239750 w 239750"/>
              <a:gd name="T13" fmla="*/ 9144 h 9144"/>
            </a:gdLst>
            <a:ahLst/>
            <a:cxnLst>
              <a:cxn ang="0">
                <a:pos x="T0" y="T1"/>
              </a:cxn>
              <a:cxn ang="0">
                <a:pos x="T2" y="T3"/>
              </a:cxn>
              <a:cxn ang="0">
                <a:pos x="T4" y="T5"/>
              </a:cxn>
              <a:cxn ang="0">
                <a:pos x="T6" y="T7"/>
              </a:cxn>
              <a:cxn ang="0">
                <a:pos x="T8" y="T9"/>
              </a:cxn>
            </a:cxnLst>
            <a:rect l="T10" t="T11" r="T12" b="T13"/>
            <a:pathLst>
              <a:path w="239750" h="9144">
                <a:moveTo>
                  <a:pt x="0" y="0"/>
                </a:moveTo>
                <a:lnTo>
                  <a:pt x="239750" y="0"/>
                </a:lnTo>
                <a:lnTo>
                  <a:pt x="239750"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twoCellAnchor>
    <xdr:from>
      <xdr:col>2</xdr:col>
      <xdr:colOff>234950</xdr:colOff>
      <xdr:row>122</xdr:row>
      <xdr:rowOff>95250</xdr:rowOff>
    </xdr:from>
    <xdr:to>
      <xdr:col>2</xdr:col>
      <xdr:colOff>488950</xdr:colOff>
      <xdr:row>122</xdr:row>
      <xdr:rowOff>101600</xdr:rowOff>
    </xdr:to>
    <xdr:grpSp>
      <xdr:nvGrpSpPr>
        <xdr:cNvPr id="5166" name="Group 46">
          <a:extLst>
            <a:ext uri="{FF2B5EF4-FFF2-40B4-BE49-F238E27FC236}">
              <a16:creationId xmlns:a16="http://schemas.microsoft.com/office/drawing/2014/main" id="{7FEC95B3-A425-203D-74E1-27F9F4C1AB19}"/>
            </a:ext>
          </a:extLst>
        </xdr:cNvPr>
        <xdr:cNvGrpSpPr>
          <a:grpSpLocks/>
        </xdr:cNvGrpSpPr>
      </xdr:nvGrpSpPr>
      <xdr:grpSpPr bwMode="auto">
        <a:xfrm>
          <a:off x="4433726" y="5645020"/>
          <a:ext cx="254000" cy="6350"/>
          <a:chOff x="0" y="0"/>
          <a:chExt cx="251282" cy="4318"/>
        </a:xfrm>
      </xdr:grpSpPr>
      <xdr:sp macro="" textlink="">
        <xdr:nvSpPr>
          <xdr:cNvPr id="5167" name="Shape 107849">
            <a:extLst>
              <a:ext uri="{FF2B5EF4-FFF2-40B4-BE49-F238E27FC236}">
                <a16:creationId xmlns:a16="http://schemas.microsoft.com/office/drawing/2014/main" id="{EAC26E16-525F-7FD7-FEF6-9C8206EED627}"/>
              </a:ext>
            </a:extLst>
          </xdr:cNvPr>
          <xdr:cNvSpPr>
            <a:spLocks/>
          </xdr:cNvSpPr>
        </xdr:nvSpPr>
        <xdr:spPr bwMode="auto">
          <a:xfrm>
            <a:off x="0" y="0"/>
            <a:ext cx="251282" cy="9144"/>
          </a:xfrm>
          <a:custGeom>
            <a:avLst/>
            <a:gdLst>
              <a:gd name="T0" fmla="*/ 0 w 251282"/>
              <a:gd name="T1" fmla="*/ 0 h 9144"/>
              <a:gd name="T2" fmla="*/ 251282 w 251282"/>
              <a:gd name="T3" fmla="*/ 0 h 9144"/>
              <a:gd name="T4" fmla="*/ 251282 w 251282"/>
              <a:gd name="T5" fmla="*/ 9144 h 9144"/>
              <a:gd name="T6" fmla="*/ 0 w 251282"/>
              <a:gd name="T7" fmla="*/ 9144 h 9144"/>
              <a:gd name="T8" fmla="*/ 0 w 251282"/>
              <a:gd name="T9" fmla="*/ 0 h 9144"/>
              <a:gd name="T10" fmla="*/ 0 w 251282"/>
              <a:gd name="T11" fmla="*/ 0 h 9144"/>
              <a:gd name="T12" fmla="*/ 251282 w 251282"/>
              <a:gd name="T13" fmla="*/ 9144 h 9144"/>
            </a:gdLst>
            <a:ahLst/>
            <a:cxnLst>
              <a:cxn ang="0">
                <a:pos x="T0" y="T1"/>
              </a:cxn>
              <a:cxn ang="0">
                <a:pos x="T2" y="T3"/>
              </a:cxn>
              <a:cxn ang="0">
                <a:pos x="T4" y="T5"/>
              </a:cxn>
              <a:cxn ang="0">
                <a:pos x="T6" y="T7"/>
              </a:cxn>
              <a:cxn ang="0">
                <a:pos x="T8" y="T9"/>
              </a:cxn>
            </a:cxnLst>
            <a:rect l="T10" t="T11" r="T12" b="T13"/>
            <a:pathLst>
              <a:path w="251282" h="9144">
                <a:moveTo>
                  <a:pt x="0" y="0"/>
                </a:moveTo>
                <a:lnTo>
                  <a:pt x="251282" y="0"/>
                </a:lnTo>
                <a:lnTo>
                  <a:pt x="251282" y="9144"/>
                </a:lnTo>
                <a:lnTo>
                  <a:pt x="0" y="9144"/>
                </a:lnTo>
                <a:lnTo>
                  <a:pt x="0" y="0"/>
                </a:lnTo>
              </a:path>
            </a:pathLst>
          </a:custGeom>
          <a:solidFill>
            <a:srgbClr val="000000"/>
          </a:solidFill>
          <a:ln>
            <a:noFill/>
          </a:ln>
          <a:extLst>
            <a:ext uri="{91240B29-F687-4F45-9708-019B960494DF}">
              <a14:hiddenLine xmlns:a14="http://schemas.microsoft.com/office/drawing/2010/main" w="0" cap="rnd">
                <a:solidFill>
                  <a:srgbClr val="000000"/>
                </a:solidFill>
                <a:round/>
                <a:headEnd/>
                <a:tailEnd/>
              </a14:hiddenLine>
            </a:ext>
          </a:extLst>
        </xdr:spPr>
      </xdr:sp>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eva-ingrid_room_kik_ee/Documents/Desktop/KLIM/20250124%20laevade%20retrofit/KHG%20arvutus/KHG%20jalaj&#228;lje%20arvutusmudel%202023%20(2).xlsx" TargetMode="External"/><Relationship Id="rId1" Type="http://schemas.openxmlformats.org/officeDocument/2006/relationships/externalLinkPath" Target="/personal/eva-ingrid_room_kik_ee/Documents/Desktop/KLIM/20250124%20laevade%20retrofit/KHG%20arvutus/KHG%20jalaj&#228;lje%20arvutusmudel%20202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issejuhatus"/>
      <sheetName val="Sisukord"/>
      <sheetName val="Organisatsioon"/>
      <sheetName val="M1-Energia"/>
      <sheetName val="M1-Sõidukid"/>
      <sheetName val="M1-Hajusheitmed"/>
      <sheetName val="M2-Ostetud elektrienergia"/>
      <sheetName val="M2-Ostetud soojusenergia"/>
      <sheetName val="M3-Transport"/>
      <sheetName val="M3-Tööreisid"/>
      <sheetName val="M3-Tööle-koju"/>
      <sheetName val="M3-Koju-tööle"/>
      <sheetName val="M3-Kodukontor"/>
      <sheetName val="M3-Jäätmed"/>
      <sheetName val="M3-Ostetud tooted"/>
      <sheetName val="M3-Müüdud tooted"/>
      <sheetName val="M3-Finantsinvesteeringud"/>
      <sheetName val="M3-Sõidukikütused"/>
      <sheetName val="M3-Hajusheitmed"/>
      <sheetName val="TULEMUSED"/>
      <sheetName val="HT-Energia (M1, M2, M3)"/>
      <sheetName val="HT-Sõidukikütused (M1)"/>
      <sheetName val="HT-Hajusheitmed (M1)"/>
      <sheetName val="HT-Transport (M3)"/>
      <sheetName val="HT-Tööreisid (M3)"/>
      <sheetName val="HT-Tööle-koju (M3)"/>
      <sheetName val="HT-Jäätmed (M3)"/>
      <sheetName val="AR väärtused"/>
      <sheetName val="Eriheited"/>
      <sheetName val="Viited"/>
      <sheetName val="2023 vs 2022 versiooni erinevus"/>
      <sheetName val="Dropdowns"/>
      <sheetName val="Conversions"/>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91">
          <cell r="F91">
            <v>55.644728020761853</v>
          </cell>
        </row>
      </sheetData>
      <sheetData sheetId="29"/>
      <sheetData sheetId="30"/>
      <sheetData sheetId="31"/>
      <sheetData sheetId="32"/>
      <sheetData sheetId="3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dn.imo.org/localresources/en/OurWork/Environment/Documents/Air%20pollution/MEPC.350%2878%29.pdf" TargetMode="External"/><Relationship Id="rId3" Type="http://schemas.openxmlformats.org/officeDocument/2006/relationships/hyperlink" Target="https://wwwcdn.imo.org/localresources/en/OurWork/Environment/Documents/Air%20pollution/MEPC.328%2876%29.pdf" TargetMode="External"/><Relationship Id="rId7" Type="http://schemas.openxmlformats.org/officeDocument/2006/relationships/hyperlink" Target="https://eur-lex.europa.eu/legal-content/ET/TXT/PDF/?uri=CELEX:02014R0651-20230701" TargetMode="External"/><Relationship Id="rId2" Type="http://schemas.openxmlformats.org/officeDocument/2006/relationships/hyperlink" Target="https://wwwcdn.imo.org/localresources/en/KnowledgeCentre/IndexofIMOResolutions/MEPCDocuments/MEPC.308(73).pdf" TargetMode="External"/><Relationship Id="rId1" Type="http://schemas.openxmlformats.org/officeDocument/2006/relationships/hyperlink" Target="https://eur-lex.europa.eu/legal-content/ET/TXT/PDF/?uri=CELEX:32023R1805" TargetMode="External"/><Relationship Id="rId6" Type="http://schemas.openxmlformats.org/officeDocument/2006/relationships/hyperlink" Target="https://eur-lex.europa.eu/legal-content/EN-ET/TXT/?from=FR&amp;uri=CELEX%3A02014R0651-20230701&amp;qid=1691573366912" TargetMode="External"/><Relationship Id="rId5" Type="http://schemas.openxmlformats.org/officeDocument/2006/relationships/hyperlink" Target="https://eur-lex.europa.eu/legal-content/ET/TXT/PDF/?uri=CELEX:02014R0651-20230701" TargetMode="External"/><Relationship Id="rId4" Type="http://schemas.openxmlformats.org/officeDocument/2006/relationships/hyperlink" Target="https://eur-lex.europa.eu/legal-content/ET/TXT/PDF/?uri=CELEX:02014R0651-20230701"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kliimaministeerium.ee/sites/default/files/documents/2023-11/KHG%20jalaj%C3%A4lje%20arvutusmudel%202023.xlsx" TargetMode="External"/><Relationship Id="rId13" Type="http://schemas.openxmlformats.org/officeDocument/2006/relationships/hyperlink" Target="https://eur-lex.europa.eu/legal-content/ET/TXT/PDF/?uri=CELEX:32023R1805" TargetMode="External"/><Relationship Id="rId18" Type="http://schemas.openxmlformats.org/officeDocument/2006/relationships/comments" Target="../comments1.xml"/><Relationship Id="rId3" Type="http://schemas.openxmlformats.org/officeDocument/2006/relationships/hyperlink" Target="http://lipasto.vtt.fi/en/index.htm" TargetMode="External"/><Relationship Id="rId7" Type="http://schemas.openxmlformats.org/officeDocument/2006/relationships/hyperlink" Target="https://kliimaministeerium.ee/sites/default/files/documents/2023-11/KHG%20jalaj%C3%A4lje%20arvutusmudel%202023.xlsx" TargetMode="External"/><Relationship Id="rId12" Type="http://schemas.openxmlformats.org/officeDocument/2006/relationships/hyperlink" Target="https://kliimaministeerium.ee/sites/default/files/documents/2024-11/KHG%20jalaj%C3%A4lje%20arvutusmudel%202024.11.19.xlsx" TargetMode="External"/><Relationship Id="rId17" Type="http://schemas.openxmlformats.org/officeDocument/2006/relationships/vmlDrawing" Target="../drawings/vmlDrawing1.vml"/><Relationship Id="rId2" Type="http://schemas.openxmlformats.org/officeDocument/2006/relationships/hyperlink" Target="https://kliimaministeerium.ee/sites/default/files/documents/2024-11/KHG%20jalaj%C3%A4lje%20arvutusmudel%202024.11.19.xlsx" TargetMode="External"/><Relationship Id="rId16" Type="http://schemas.openxmlformats.org/officeDocument/2006/relationships/drawing" Target="../drawings/drawing1.xml"/><Relationship Id="rId1" Type="http://schemas.openxmlformats.org/officeDocument/2006/relationships/hyperlink" Target="https://www.gov.uk/government/collections/government-conversion-factors-for-company-reporting" TargetMode="External"/><Relationship Id="rId6" Type="http://schemas.openxmlformats.org/officeDocument/2006/relationships/hyperlink" Target="https://kliimaministeerium.ee/sites/default/files/documents/2023-11/KHG%20jalaj%C3%A4lje%20arvutusmudel%202023.xlsx" TargetMode="External"/><Relationship Id="rId11" Type="http://schemas.openxmlformats.org/officeDocument/2006/relationships/hyperlink" Target="https://kliimaministeerium.ee/sites/default/files/documents/2024-11/KHG%20jalaj%C3%A4lje%20arvutusmudel%202024.11.19.xlsx" TargetMode="External"/><Relationship Id="rId5" Type="http://schemas.openxmlformats.org/officeDocument/2006/relationships/hyperlink" Target="https://kliimaministeerium.ee/sites/default/files/documents/2023-11/KHG%20jalaj%C3%A4lje%20arvutusmudel%202023.xlsx" TargetMode="External"/><Relationship Id="rId15" Type="http://schemas.openxmlformats.org/officeDocument/2006/relationships/hyperlink" Target="https://eur-lex.europa.eu/legal-content/ET/TXT/PDF/?uri=CELEX:02018L2001-20240716" TargetMode="External"/><Relationship Id="rId10" Type="http://schemas.openxmlformats.org/officeDocument/2006/relationships/hyperlink" Target="https://wwwcdn.imo.org/localresources/en/KnowledgeCentre/IndexofIMOResolutions/MEPCDocuments/MEPC.308(73).pdf" TargetMode="External"/><Relationship Id="rId4" Type="http://schemas.openxmlformats.org/officeDocument/2006/relationships/hyperlink" Target="https://kliimaministeerium.ee/sites/default/files/documents/2023-11/KHG%20jalaj%C3%A4lje%20arvutusmudel%202023.xlsx" TargetMode="External"/><Relationship Id="rId9" Type="http://schemas.openxmlformats.org/officeDocument/2006/relationships/hyperlink" Target="https://kliimaministeerium.ee/sites/default/files/documents/2023-11/KHG%20jalaj%C3%A4lje%20arvutusmudel%202023.xlsx" TargetMode="External"/><Relationship Id="rId14" Type="http://schemas.openxmlformats.org/officeDocument/2006/relationships/hyperlink" Target="https://eur-lex.europa.eu/legal-content/ET/TXT/PDF/?uri=CELEX:02018L2001-20240716"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s://unfccc.int/sites/default/files/resource/est-2022-nir-12apr22_0.zip" TargetMode="External"/><Relationship Id="rId1" Type="http://schemas.openxmlformats.org/officeDocument/2006/relationships/hyperlink" Target="https://www.riigiteataja.ee/akt/174925"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hyperlink" Target="https://eur-lex.europa.eu/legal-content/ET/TXT/PDF/?uri=CELEX:32023R1805"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cdn.imo.org/localresources/en/OurWork/Environment/Documents/Air%20pollution/MEPC.328%2876%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4D6C-9C7E-40F4-BBB5-F995AA5DAC04}">
  <dimension ref="A1:AA218"/>
  <sheetViews>
    <sheetView tabSelected="1" zoomScale="80" zoomScaleNormal="80" workbookViewId="0">
      <selection activeCell="G24" sqref="G24"/>
    </sheetView>
  </sheetViews>
  <sheetFormatPr defaultRowHeight="15" x14ac:dyDescent="0.25"/>
  <cols>
    <col min="1" max="1" width="9.140625" style="202"/>
    <col min="2" max="2" width="56.85546875" customWidth="1"/>
    <col min="3" max="3" width="35.28515625" customWidth="1"/>
    <col min="4" max="4" width="20" customWidth="1"/>
    <col min="5" max="5" width="16.140625" customWidth="1"/>
    <col min="6" max="6" width="12.7109375" customWidth="1"/>
    <col min="7" max="7" width="16.85546875" customWidth="1"/>
    <col min="8" max="8" width="19.140625" customWidth="1"/>
    <col min="9" max="9" width="15.140625" customWidth="1"/>
    <col min="10" max="11" width="13.5703125" customWidth="1"/>
    <col min="12" max="12" width="15.28515625" style="202" customWidth="1"/>
    <col min="13" max="13" width="18" style="202" customWidth="1"/>
    <col min="14" max="14" width="16.85546875" style="202" customWidth="1"/>
    <col min="15" max="15" width="16.140625" style="202" customWidth="1"/>
    <col min="16" max="16" width="15.42578125" style="202" customWidth="1"/>
    <col min="17" max="17" width="16" style="202" customWidth="1"/>
    <col min="18" max="23" width="9.140625" style="202"/>
    <col min="24" max="24" width="4.7109375" style="202" customWidth="1"/>
    <col min="25" max="27" width="9.140625" style="202"/>
  </cols>
  <sheetData>
    <row r="1" spans="2:11" x14ac:dyDescent="0.25">
      <c r="B1" s="202"/>
      <c r="C1" s="202"/>
      <c r="D1" s="202"/>
      <c r="E1" s="202"/>
      <c r="F1" s="202"/>
      <c r="G1" s="202"/>
      <c r="H1" s="202"/>
      <c r="I1" s="202"/>
      <c r="J1" s="202"/>
      <c r="K1" s="202"/>
    </row>
    <row r="2" spans="2:11" x14ac:dyDescent="0.25">
      <c r="B2" s="302" t="s">
        <v>550</v>
      </c>
      <c r="C2" s="303"/>
      <c r="D2" s="202"/>
      <c r="E2" s="202"/>
      <c r="F2" s="202"/>
      <c r="G2" s="202"/>
      <c r="H2" s="202"/>
      <c r="I2" s="202"/>
      <c r="J2" s="202"/>
      <c r="K2" s="202"/>
    </row>
    <row r="3" spans="2:11" x14ac:dyDescent="0.25">
      <c r="B3" s="304" t="s">
        <v>551</v>
      </c>
      <c r="C3" s="303"/>
      <c r="D3" s="202"/>
      <c r="E3" s="202"/>
      <c r="F3" s="202"/>
      <c r="G3" s="202"/>
      <c r="H3" s="202"/>
      <c r="I3" s="202"/>
      <c r="J3" s="202"/>
      <c r="K3" s="202"/>
    </row>
    <row r="4" spans="2:11" ht="16.5" customHeight="1" x14ac:dyDescent="0.25">
      <c r="B4" s="305" t="s">
        <v>553</v>
      </c>
      <c r="C4" s="303"/>
      <c r="D4" s="202"/>
      <c r="E4" s="202"/>
      <c r="F4" s="202"/>
      <c r="G4" s="202"/>
      <c r="H4" s="202"/>
      <c r="I4" s="202"/>
      <c r="J4" s="202"/>
      <c r="K4" s="202"/>
    </row>
    <row r="5" spans="2:11" x14ac:dyDescent="0.25">
      <c r="B5" s="202"/>
      <c r="C5" s="202"/>
      <c r="D5" s="202"/>
      <c r="E5" s="202"/>
      <c r="F5" s="202"/>
      <c r="G5" s="202"/>
      <c r="I5" s="202"/>
      <c r="J5" s="202"/>
      <c r="K5" s="202"/>
    </row>
    <row r="6" spans="2:11" x14ac:dyDescent="0.25">
      <c r="B6" s="311" t="s">
        <v>552</v>
      </c>
      <c r="C6" s="312"/>
      <c r="D6" s="313"/>
      <c r="E6" s="202"/>
      <c r="F6" s="202"/>
      <c r="G6" s="202"/>
      <c r="H6" s="202"/>
      <c r="I6" s="202"/>
      <c r="J6" s="202"/>
      <c r="K6" s="202"/>
    </row>
    <row r="7" spans="2:11" x14ac:dyDescent="0.25">
      <c r="B7" s="208" t="s">
        <v>5</v>
      </c>
      <c r="C7" s="314"/>
      <c r="D7" s="315"/>
      <c r="E7" s="202"/>
      <c r="F7" s="202"/>
      <c r="G7" s="202"/>
      <c r="H7" s="202"/>
      <c r="I7" s="202"/>
      <c r="J7" s="202"/>
      <c r="K7" s="202"/>
    </row>
    <row r="8" spans="2:11" ht="27.95" customHeight="1" x14ac:dyDescent="0.25">
      <c r="B8" s="208" t="s">
        <v>538</v>
      </c>
      <c r="C8" s="316"/>
      <c r="D8" s="317"/>
      <c r="E8" s="202"/>
      <c r="F8" s="202"/>
      <c r="G8" s="202"/>
      <c r="H8" s="202"/>
      <c r="I8" s="202"/>
      <c r="J8" s="202"/>
      <c r="K8" s="202"/>
    </row>
    <row r="9" spans="2:11" x14ac:dyDescent="0.25">
      <c r="B9" s="208" t="s">
        <v>6</v>
      </c>
      <c r="C9" s="201"/>
      <c r="D9" s="202" t="s">
        <v>7</v>
      </c>
      <c r="E9" s="202"/>
      <c r="F9" s="202"/>
      <c r="G9" s="202"/>
      <c r="H9" s="202"/>
      <c r="I9" s="202"/>
      <c r="J9" s="202"/>
      <c r="K9" s="202"/>
    </row>
    <row r="10" spans="2:11" x14ac:dyDescent="0.25">
      <c r="B10" s="208" t="s">
        <v>8</v>
      </c>
      <c r="C10" s="201"/>
      <c r="D10" s="202" t="s">
        <v>7</v>
      </c>
      <c r="E10" s="202"/>
      <c r="F10" s="202"/>
      <c r="G10" s="202"/>
      <c r="H10" s="202"/>
      <c r="I10" s="202"/>
      <c r="J10" s="202"/>
      <c r="K10" s="202"/>
    </row>
    <row r="11" spans="2:11" x14ac:dyDescent="0.25">
      <c r="B11" s="209" t="s">
        <v>526</v>
      </c>
      <c r="C11" s="210" t="str">
        <f>IFERROR((C10/C9*100)," ")</f>
        <v xml:space="preserve"> </v>
      </c>
      <c r="D11" s="202" t="s">
        <v>3</v>
      </c>
      <c r="E11" s="202"/>
      <c r="F11" s="202"/>
      <c r="G11" s="202"/>
      <c r="H11" s="202"/>
      <c r="I11" s="202"/>
      <c r="J11" s="202"/>
      <c r="K11" s="202"/>
    </row>
    <row r="12" spans="2:11" x14ac:dyDescent="0.25">
      <c r="B12" s="209" t="s">
        <v>529</v>
      </c>
      <c r="C12" s="272" t="s">
        <v>634</v>
      </c>
      <c r="D12" s="202" t="s">
        <v>15</v>
      </c>
      <c r="E12" s="202"/>
      <c r="F12" s="202"/>
      <c r="G12" s="202"/>
      <c r="H12" s="202"/>
      <c r="I12" s="202"/>
      <c r="J12" s="202"/>
      <c r="K12" s="202"/>
    </row>
    <row r="13" spans="2:11" x14ac:dyDescent="0.25">
      <c r="B13" s="202"/>
      <c r="C13" s="202"/>
      <c r="D13" s="202"/>
      <c r="E13" s="202"/>
      <c r="F13" s="202"/>
      <c r="G13" s="202"/>
      <c r="H13" s="202"/>
      <c r="I13" s="202"/>
      <c r="J13" s="202"/>
      <c r="K13" s="202"/>
    </row>
    <row r="14" spans="2:11" x14ac:dyDescent="0.25">
      <c r="B14" s="202"/>
      <c r="C14" s="202"/>
      <c r="D14" s="202"/>
      <c r="E14" s="202"/>
      <c r="F14" s="202"/>
      <c r="G14" s="202"/>
      <c r="H14" s="202"/>
      <c r="I14" s="202"/>
      <c r="J14" s="202"/>
      <c r="K14" s="202"/>
    </row>
    <row r="15" spans="2:11" x14ac:dyDescent="0.25">
      <c r="B15" s="311" t="s">
        <v>606</v>
      </c>
      <c r="C15" s="312"/>
      <c r="D15" s="313"/>
      <c r="E15" s="202"/>
      <c r="F15" s="202"/>
      <c r="G15" s="202"/>
      <c r="H15" s="202"/>
      <c r="I15" s="202"/>
      <c r="J15" s="202"/>
      <c r="K15" s="202"/>
    </row>
    <row r="16" spans="2:11" x14ac:dyDescent="0.25">
      <c r="B16" s="202"/>
      <c r="C16" s="202"/>
      <c r="D16" s="202"/>
      <c r="E16" s="202"/>
      <c r="F16" s="294"/>
      <c r="G16" s="294"/>
      <c r="H16" s="294"/>
      <c r="I16" s="294"/>
      <c r="J16" s="202"/>
      <c r="K16" s="202"/>
    </row>
    <row r="17" spans="2:26" x14ac:dyDescent="0.25">
      <c r="B17" s="213" t="s">
        <v>607</v>
      </c>
      <c r="C17" s="322" t="s">
        <v>520</v>
      </c>
      <c r="D17" s="323"/>
      <c r="E17" s="202" t="s">
        <v>15</v>
      </c>
      <c r="F17" s="202"/>
      <c r="G17" s="202"/>
      <c r="H17" s="202"/>
      <c r="I17" s="202"/>
      <c r="J17" s="202"/>
      <c r="K17" s="233"/>
      <c r="L17" s="233"/>
      <c r="M17" s="287"/>
      <c r="N17" s="288"/>
      <c r="O17" s="288"/>
      <c r="P17" s="288"/>
      <c r="Q17" s="288"/>
      <c r="R17" s="288"/>
      <c r="S17" s="288"/>
    </row>
    <row r="18" spans="2:26" x14ac:dyDescent="0.25">
      <c r="B18" s="207" t="s">
        <v>609</v>
      </c>
      <c r="C18" s="322" t="s">
        <v>623</v>
      </c>
      <c r="D18" s="323"/>
      <c r="E18" s="202" t="s">
        <v>15</v>
      </c>
      <c r="F18" s="223" t="s">
        <v>14</v>
      </c>
      <c r="G18" s="223" t="s">
        <v>610</v>
      </c>
      <c r="H18" s="202"/>
      <c r="I18" s="202"/>
      <c r="J18" s="233"/>
      <c r="K18" s="233"/>
      <c r="L18" s="233"/>
      <c r="M18" s="288"/>
      <c r="N18" s="288"/>
      <c r="O18" s="288"/>
      <c r="P18" s="288"/>
      <c r="Q18" s="288"/>
      <c r="R18" s="288"/>
      <c r="S18" s="288"/>
    </row>
    <row r="19" spans="2:26" x14ac:dyDescent="0.25">
      <c r="B19" s="213" t="s">
        <v>608</v>
      </c>
      <c r="C19" s="322" t="s">
        <v>604</v>
      </c>
      <c r="D19" s="323"/>
      <c r="E19" s="223" t="s">
        <v>622</v>
      </c>
      <c r="F19" s="223"/>
      <c r="G19" s="223"/>
      <c r="H19" s="202"/>
      <c r="I19" s="202"/>
      <c r="J19" s="233"/>
      <c r="K19" s="233"/>
      <c r="L19" s="233"/>
      <c r="M19" s="288"/>
      <c r="N19" s="288"/>
      <c r="O19" s="288"/>
      <c r="P19" s="288"/>
      <c r="Q19" s="288"/>
      <c r="R19" s="288"/>
      <c r="S19" s="288"/>
    </row>
    <row r="20" spans="2:26" x14ac:dyDescent="0.25">
      <c r="B20" s="207" t="s">
        <v>611</v>
      </c>
      <c r="C20" s="322" t="s">
        <v>617</v>
      </c>
      <c r="D20" s="323"/>
      <c r="E20" s="202" t="s">
        <v>15</v>
      </c>
      <c r="F20" s="223" t="s">
        <v>613</v>
      </c>
      <c r="G20" s="202"/>
      <c r="H20" s="202"/>
      <c r="I20" s="233"/>
      <c r="J20" s="233"/>
      <c r="K20" s="233"/>
      <c r="L20" s="233"/>
      <c r="M20" s="288"/>
      <c r="N20" s="288"/>
      <c r="O20" s="288"/>
      <c r="P20" s="288"/>
      <c r="Q20" s="288"/>
      <c r="R20" s="288"/>
      <c r="S20" s="288"/>
    </row>
    <row r="21" spans="2:26" ht="18" x14ac:dyDescent="0.35">
      <c r="B21" s="271" t="s">
        <v>635</v>
      </c>
      <c r="C21" s="331"/>
      <c r="D21" s="332"/>
      <c r="E21" s="202" t="s">
        <v>645</v>
      </c>
      <c r="F21" s="202"/>
      <c r="G21" s="233" t="s">
        <v>644</v>
      </c>
      <c r="H21" s="202"/>
      <c r="I21" s="202"/>
      <c r="J21" s="202"/>
      <c r="K21" s="202"/>
      <c r="M21" s="288"/>
      <c r="N21" s="288"/>
      <c r="O21" s="288"/>
      <c r="P21" s="288"/>
      <c r="Q21" s="288"/>
      <c r="R21" s="288"/>
      <c r="S21" s="288"/>
    </row>
    <row r="22" spans="2:26" ht="18" x14ac:dyDescent="0.35">
      <c r="B22" s="271" t="s">
        <v>636</v>
      </c>
      <c r="C22" s="331"/>
      <c r="D22" s="332"/>
      <c r="E22" s="202" t="s">
        <v>645</v>
      </c>
      <c r="F22" s="202"/>
      <c r="G22" s="233" t="s">
        <v>644</v>
      </c>
      <c r="H22" s="202"/>
      <c r="I22" s="202"/>
      <c r="J22" s="202"/>
      <c r="K22" s="202"/>
      <c r="M22" s="288"/>
      <c r="N22" s="288"/>
      <c r="O22" s="288"/>
      <c r="P22" s="288"/>
      <c r="Q22" s="288"/>
      <c r="R22" s="288"/>
      <c r="S22" s="288"/>
    </row>
    <row r="23" spans="2:26" x14ac:dyDescent="0.25">
      <c r="B23" s="202"/>
      <c r="C23" s="202"/>
      <c r="D23" s="202"/>
      <c r="E23" s="202"/>
      <c r="F23" s="202"/>
      <c r="G23" s="202"/>
      <c r="H23" s="202"/>
      <c r="I23" s="202"/>
      <c r="J23" s="202"/>
      <c r="K23" s="202"/>
    </row>
    <row r="24" spans="2:26" x14ac:dyDescent="0.25">
      <c r="B24" s="202"/>
      <c r="C24" s="202"/>
      <c r="D24" s="202"/>
      <c r="E24" s="202"/>
      <c r="F24" s="202"/>
      <c r="G24" s="202"/>
      <c r="H24" s="202"/>
      <c r="I24" s="202"/>
      <c r="J24" s="202"/>
      <c r="K24" s="202"/>
    </row>
    <row r="25" spans="2:26" ht="14.45" customHeight="1" x14ac:dyDescent="0.25">
      <c r="B25" s="319" t="s">
        <v>614</v>
      </c>
      <c r="C25" s="319"/>
      <c r="D25" s="319"/>
      <c r="E25" s="319"/>
      <c r="F25" s="319"/>
      <c r="G25" s="319"/>
      <c r="H25" s="319"/>
      <c r="I25" s="319"/>
      <c r="J25" s="319"/>
      <c r="K25" s="319"/>
      <c r="L25" s="319"/>
      <c r="M25" s="319"/>
      <c r="N25" s="319"/>
      <c r="O25" s="319"/>
    </row>
    <row r="26" spans="2:26" x14ac:dyDescent="0.25">
      <c r="B26" s="319"/>
      <c r="C26" s="319"/>
      <c r="D26" s="319"/>
      <c r="E26" s="319"/>
      <c r="F26" s="319"/>
      <c r="G26" s="319"/>
      <c r="H26" s="319"/>
      <c r="I26" s="319"/>
      <c r="J26" s="319"/>
      <c r="K26" s="319"/>
      <c r="L26" s="319"/>
      <c r="M26" s="319"/>
      <c r="N26" s="319"/>
      <c r="O26" s="319"/>
    </row>
    <row r="27" spans="2:26" x14ac:dyDescent="0.25">
      <c r="B27" s="202"/>
      <c r="C27" s="202"/>
      <c r="D27" s="202"/>
      <c r="E27" s="202"/>
      <c r="F27" s="202"/>
      <c r="G27" s="202"/>
      <c r="H27" s="202"/>
      <c r="I27" s="202"/>
      <c r="J27" s="202"/>
      <c r="K27" s="202"/>
    </row>
    <row r="28" spans="2:26" x14ac:dyDescent="0.25">
      <c r="B28" s="311" t="s">
        <v>558</v>
      </c>
      <c r="C28" s="312"/>
      <c r="D28" s="313"/>
      <c r="F28" s="202"/>
      <c r="G28" s="282"/>
      <c r="H28" s="202"/>
      <c r="I28" s="202"/>
      <c r="J28" s="202"/>
      <c r="K28" s="202"/>
    </row>
    <row r="29" spans="2:26" ht="38.25" customHeight="1" x14ac:dyDescent="0.25">
      <c r="B29" s="283" t="s">
        <v>637</v>
      </c>
      <c r="C29" s="284" t="str">
        <f>IF(OR(C21="",C22="",C21=0),"",(C21-C22)/C21)</f>
        <v/>
      </c>
      <c r="D29" s="295" t="s">
        <v>3</v>
      </c>
      <c r="E29" s="299" t="s">
        <v>528</v>
      </c>
      <c r="F29" s="267"/>
      <c r="G29" s="300"/>
      <c r="H29" s="301" t="s">
        <v>652</v>
      </c>
      <c r="I29" s="301"/>
      <c r="J29" s="301"/>
      <c r="K29" s="301"/>
      <c r="L29" s="301"/>
      <c r="M29" s="301"/>
      <c r="N29" s="301"/>
      <c r="O29" s="301"/>
      <c r="P29" s="301"/>
      <c r="Q29" s="301"/>
      <c r="R29" s="301"/>
      <c r="S29" s="301"/>
      <c r="T29" s="301"/>
      <c r="U29" s="301"/>
      <c r="V29" s="301"/>
      <c r="W29" s="301"/>
      <c r="Y29" s="273" t="s">
        <v>638</v>
      </c>
    </row>
    <row r="30" spans="2:26" ht="73.5" customHeight="1" x14ac:dyDescent="0.25">
      <c r="B30" s="289" t="s">
        <v>642</v>
      </c>
      <c r="C30" s="290">
        <f>C113-C71</f>
        <v>0</v>
      </c>
      <c r="D30" s="291" t="s">
        <v>510</v>
      </c>
      <c r="E30" s="335" t="s">
        <v>643</v>
      </c>
      <c r="F30" s="335"/>
      <c r="G30" s="335"/>
      <c r="H30" s="334" t="s">
        <v>648</v>
      </c>
      <c r="I30" s="334"/>
      <c r="J30" s="334"/>
      <c r="K30" s="334"/>
      <c r="L30" s="334"/>
      <c r="M30" s="334"/>
      <c r="N30" s="334"/>
      <c r="O30" s="334"/>
      <c r="P30" s="334"/>
      <c r="Q30" s="334"/>
      <c r="R30" s="334"/>
      <c r="S30" s="334"/>
      <c r="T30" s="334"/>
      <c r="U30" s="334"/>
      <c r="V30" s="334"/>
      <c r="W30" s="334"/>
      <c r="X30" s="334"/>
      <c r="Y30" s="334"/>
      <c r="Z30" s="334"/>
    </row>
    <row r="31" spans="2:26" ht="30" x14ac:dyDescent="0.25">
      <c r="B31" s="214" t="s">
        <v>533</v>
      </c>
      <c r="C31" s="244" t="str">
        <f>IF(C12="Jah","Mittekohalduv",C123)</f>
        <v>Mittekohalduv</v>
      </c>
      <c r="D31" s="202"/>
      <c r="E31" s="318" t="s">
        <v>531</v>
      </c>
      <c r="F31" s="318"/>
      <c r="G31" s="318"/>
      <c r="H31" s="211" t="s">
        <v>525</v>
      </c>
      <c r="I31" s="202"/>
      <c r="J31" s="202"/>
      <c r="K31" s="202"/>
    </row>
    <row r="32" spans="2:26" ht="30" x14ac:dyDescent="0.25">
      <c r="B32" s="214" t="s">
        <v>530</v>
      </c>
      <c r="C32" s="244" t="str">
        <f>IF(C12="Jah","Mittekohalduv",C124)</f>
        <v>Mittekohalduv</v>
      </c>
      <c r="D32" s="202"/>
      <c r="E32" s="318" t="s">
        <v>532</v>
      </c>
      <c r="F32" s="318"/>
      <c r="G32" s="318"/>
      <c r="H32" s="211" t="s">
        <v>525</v>
      </c>
      <c r="I32" s="202"/>
      <c r="J32" s="202"/>
      <c r="K32" s="202"/>
    </row>
    <row r="33" spans="2:26" ht="44.25" customHeight="1" x14ac:dyDescent="0.25">
      <c r="B33" s="298" t="s">
        <v>649</v>
      </c>
      <c r="C33" s="296"/>
      <c r="D33" s="297" t="s">
        <v>646</v>
      </c>
      <c r="E33" s="334" t="s">
        <v>647</v>
      </c>
      <c r="F33" s="334"/>
      <c r="G33" s="334"/>
      <c r="H33" s="334"/>
      <c r="I33" s="334"/>
      <c r="J33" s="334"/>
      <c r="K33" s="334"/>
      <c r="L33" s="334"/>
      <c r="M33" s="334"/>
      <c r="N33" s="334"/>
      <c r="O33" s="334"/>
      <c r="P33" s="334"/>
      <c r="Q33" s="334"/>
      <c r="R33" s="334"/>
      <c r="S33" s="334"/>
      <c r="T33" s="334"/>
      <c r="U33" s="334"/>
      <c r="V33" s="334"/>
      <c r="W33" s="334"/>
      <c r="X33" s="334"/>
      <c r="Y33" s="334"/>
      <c r="Z33" s="334"/>
    </row>
    <row r="34" spans="2:26" ht="26.25" customHeight="1" x14ac:dyDescent="0.25">
      <c r="B34" s="215"/>
      <c r="C34" s="202"/>
      <c r="D34" s="202"/>
      <c r="E34" s="212"/>
      <c r="F34" s="212"/>
      <c r="G34" s="212"/>
      <c r="H34" s="211"/>
      <c r="I34" s="202"/>
      <c r="J34" s="202"/>
      <c r="K34" s="202"/>
    </row>
    <row r="35" spans="2:26" ht="14.45" customHeight="1" x14ac:dyDescent="0.25">
      <c r="B35" s="307" t="s">
        <v>641</v>
      </c>
      <c r="C35" s="320"/>
      <c r="D35" s="320"/>
      <c r="E35" s="320"/>
      <c r="F35" s="320"/>
      <c r="G35" s="320"/>
      <c r="H35" s="320"/>
      <c r="I35" s="320"/>
      <c r="J35" s="320"/>
      <c r="K35" s="320"/>
      <c r="L35" s="320"/>
      <c r="M35" s="320"/>
      <c r="N35" s="320"/>
      <c r="O35" s="320"/>
    </row>
    <row r="36" spans="2:26" x14ac:dyDescent="0.25">
      <c r="B36" s="320"/>
      <c r="C36" s="320"/>
      <c r="D36" s="320"/>
      <c r="E36" s="320"/>
      <c r="F36" s="320"/>
      <c r="G36" s="320"/>
      <c r="H36" s="320"/>
      <c r="I36" s="320"/>
      <c r="J36" s="320"/>
      <c r="K36" s="320"/>
      <c r="L36" s="320"/>
      <c r="M36" s="320"/>
      <c r="N36" s="320"/>
      <c r="O36" s="320"/>
    </row>
    <row r="37" spans="2:26" x14ac:dyDescent="0.25">
      <c r="B37" s="320"/>
      <c r="C37" s="320"/>
      <c r="D37" s="320"/>
      <c r="E37" s="320"/>
      <c r="F37" s="320"/>
      <c r="G37" s="320"/>
      <c r="H37" s="320"/>
      <c r="I37" s="320"/>
      <c r="J37" s="320"/>
      <c r="K37" s="320"/>
      <c r="L37" s="320"/>
      <c r="M37" s="320"/>
      <c r="N37" s="320"/>
      <c r="O37" s="320"/>
    </row>
    <row r="38" spans="2:26" x14ac:dyDescent="0.25">
      <c r="B38" s="320"/>
      <c r="C38" s="320"/>
      <c r="D38" s="320"/>
      <c r="E38" s="320"/>
      <c r="F38" s="320"/>
      <c r="G38" s="320"/>
      <c r="H38" s="320"/>
      <c r="I38" s="320"/>
      <c r="J38" s="320"/>
      <c r="K38" s="320"/>
      <c r="L38" s="320"/>
      <c r="M38" s="320"/>
      <c r="N38" s="320"/>
      <c r="O38" s="320"/>
    </row>
    <row r="39" spans="2:26" ht="64.5" customHeight="1" x14ac:dyDescent="0.25">
      <c r="B39" s="320"/>
      <c r="C39" s="320"/>
      <c r="D39" s="320"/>
      <c r="E39" s="320"/>
      <c r="F39" s="320"/>
      <c r="G39" s="320"/>
      <c r="H39" s="320"/>
      <c r="I39" s="320"/>
      <c r="J39" s="320"/>
      <c r="K39" s="320"/>
      <c r="L39" s="320"/>
      <c r="M39" s="320"/>
      <c r="N39" s="320"/>
      <c r="O39" s="320"/>
    </row>
    <row r="40" spans="2:26" s="202" customFormat="1" x14ac:dyDescent="0.25"/>
    <row r="41" spans="2:26" s="202" customFormat="1" x14ac:dyDescent="0.25">
      <c r="B41" s="321" t="s">
        <v>544</v>
      </c>
      <c r="C41" s="321"/>
    </row>
    <row r="42" spans="2:26" s="202" customFormat="1" ht="29.1" customHeight="1" x14ac:dyDescent="0.25">
      <c r="B42" s="304" t="s">
        <v>545</v>
      </c>
      <c r="C42" s="304"/>
    </row>
    <row r="43" spans="2:26" s="202" customFormat="1" ht="24.6" customHeight="1" x14ac:dyDescent="0.25">
      <c r="B43" s="306" t="s">
        <v>553</v>
      </c>
      <c r="C43" s="306"/>
    </row>
    <row r="44" spans="2:26" s="202" customFormat="1" x14ac:dyDescent="0.25"/>
    <row r="45" spans="2:26" s="202" customFormat="1" x14ac:dyDescent="0.25">
      <c r="B45" s="203" t="s">
        <v>580</v>
      </c>
    </row>
    <row r="46" spans="2:26" s="202" customFormat="1" x14ac:dyDescent="0.25">
      <c r="B46" s="203"/>
    </row>
    <row r="47" spans="2:26" ht="90.95" customHeight="1" x14ac:dyDescent="0.25">
      <c r="B47" s="205" t="s">
        <v>571</v>
      </c>
      <c r="C47" s="206" t="s">
        <v>542</v>
      </c>
      <c r="D47" s="205" t="s">
        <v>543</v>
      </c>
      <c r="E47" s="205" t="s">
        <v>559</v>
      </c>
      <c r="F47" s="205" t="s">
        <v>547</v>
      </c>
      <c r="G47" s="205" t="s">
        <v>549</v>
      </c>
      <c r="H47" s="205" t="s">
        <v>548</v>
      </c>
      <c r="I47" s="205" t="s">
        <v>546</v>
      </c>
      <c r="J47" s="205" t="s">
        <v>575</v>
      </c>
      <c r="K47" s="293" t="s">
        <v>576</v>
      </c>
      <c r="L47" s="293" t="s">
        <v>577</v>
      </c>
      <c r="M47" s="205" t="s">
        <v>554</v>
      </c>
      <c r="N47" s="205" t="s">
        <v>573</v>
      </c>
      <c r="O47" s="205" t="s">
        <v>503</v>
      </c>
      <c r="P47" s="205" t="s">
        <v>578</v>
      </c>
      <c r="Q47" s="205" t="s">
        <v>253</v>
      </c>
    </row>
    <row r="48" spans="2:26" ht="18.75" customHeight="1" x14ac:dyDescent="0.25">
      <c r="B48" s="221" t="s">
        <v>557</v>
      </c>
      <c r="C48" s="217" t="s">
        <v>502</v>
      </c>
      <c r="D48" s="216"/>
      <c r="E48" s="221" t="s">
        <v>13</v>
      </c>
      <c r="F48" s="205"/>
      <c r="G48" s="218">
        <f>IFERROR(_xlfn.XLOOKUP(C48,Eriheited!$D$124:$D$164,Eriheited!$N$124:$N$164),0)</f>
        <v>0</v>
      </c>
      <c r="H48" s="218">
        <f>IFERROR(_xlfn.XLOOKUP(C48,Eriheited!$D$124:$D$164,Eriheited!$M$124:$M$164),0)</f>
        <v>0</v>
      </c>
      <c r="I48" s="218">
        <f>D48</f>
        <v>0</v>
      </c>
      <c r="J48" s="218">
        <f>D48*G48</f>
        <v>0</v>
      </c>
      <c r="K48" s="218">
        <f>D48*H48</f>
        <v>0</v>
      </c>
      <c r="L48" s="219">
        <f>J48+K48</f>
        <v>0</v>
      </c>
      <c r="M48" s="219">
        <f>IFERROR((I48/$I$68*100),0)</f>
        <v>0</v>
      </c>
      <c r="N48" s="219">
        <f>IFERROR(IF(_xlfn.XLOOKUP(C48,Eriheited!$D$124:$D$166,Eriheited!$B$124:$B$166)="Fossiilkütused",0,I48),0)</f>
        <v>0</v>
      </c>
      <c r="O48" s="238" t="str">
        <f>IFERROR(_xlfn.XLOOKUP(C48,Eriheited!$D$124:$D$164,Eriheited!$C$124:$C$164)," ")</f>
        <v>jah</v>
      </c>
      <c r="P48" s="242">
        <f>M48*IF(O48="jah",1,0)</f>
        <v>0</v>
      </c>
      <c r="Q48" s="243">
        <f>IFERROR(IF(_xlfn.XLOOKUP(C48,Eriheited!$D$124:$D$166,Eriheited!$B$124:$B$166)="Biokütus",2,1)," ")</f>
        <v>1</v>
      </c>
    </row>
    <row r="49" spans="2:17" ht="37.5" customHeight="1" x14ac:dyDescent="0.25">
      <c r="B49" s="245" t="s">
        <v>581</v>
      </c>
      <c r="C49" s="217" t="s">
        <v>500</v>
      </c>
      <c r="D49" s="216"/>
      <c r="E49" s="221" t="s">
        <v>13</v>
      </c>
      <c r="F49" s="205"/>
      <c r="G49" s="218">
        <f>IFERROR(_xlfn.XLOOKUP(C49,Eriheited!$D$124:$D$164,Eriheited!$N$124:$N$164),0)</f>
        <v>0</v>
      </c>
      <c r="H49" s="218">
        <f>IFERROR(_xlfn.XLOOKUP(C49,Eriheited!$D$124:$D$164,Eriheited!$M$124:$M$164),0)</f>
        <v>0</v>
      </c>
      <c r="I49" s="218">
        <f>D49</f>
        <v>0</v>
      </c>
      <c r="J49" s="218">
        <f>D49*G49</f>
        <v>0</v>
      </c>
      <c r="K49" s="218">
        <f t="shared" ref="K49:K51" si="0">D49*H49</f>
        <v>0</v>
      </c>
      <c r="L49" s="219">
        <f t="shared" ref="L49:L51" si="1">J49+K49</f>
        <v>0</v>
      </c>
      <c r="M49" s="219">
        <f t="shared" ref="M49:M67" si="2">IFERROR((I49/$I$68*100),0)</f>
        <v>0</v>
      </c>
      <c r="N49" s="219">
        <f>IFERROR(IF(_xlfn.XLOOKUP(C49,Eriheited!$D$124:$D$166,Eriheited!$B$124:$B$166)="Fossiilkütused",0,I49),0)</f>
        <v>0</v>
      </c>
      <c r="O49" s="238" t="str">
        <f>IFERROR(_xlfn.XLOOKUP(C49,Eriheited!$D$124:$D$164,Eriheited!$C$124:$C$164)," ")</f>
        <v>jah</v>
      </c>
      <c r="P49" s="242">
        <f t="shared" ref="P49:P67" si="3">M49*IF(O49="jah",1,0)</f>
        <v>0</v>
      </c>
      <c r="Q49" s="243">
        <f>IFERROR(IF(_xlfn.XLOOKUP(C49,Eriheited!$D$124:$D$166,Eriheited!$B$124:$B$166)="Biokütus",2,1)," ")</f>
        <v>1</v>
      </c>
    </row>
    <row r="50" spans="2:17" x14ac:dyDescent="0.25">
      <c r="B50" s="216" t="s">
        <v>541</v>
      </c>
      <c r="C50" s="217" t="s">
        <v>260</v>
      </c>
      <c r="D50" s="216"/>
      <c r="E50" s="221" t="s">
        <v>4</v>
      </c>
      <c r="F50" s="218">
        <f>IFERROR(_xlfn.XLOOKUP(C50,Eriheited!$D$124:$D$164,Eriheited!$F$124:$F$164),0)</f>
        <v>4.2700000000000002E-2</v>
      </c>
      <c r="G50" s="218">
        <f>IFERROR(_xlfn.XLOOKUP(C50,Eriheited!$D$124:$D$164,Eriheited!$N$124:$N$164),0)</f>
        <v>0.61488000000000009</v>
      </c>
      <c r="H50" s="218">
        <f>IFERROR(_xlfn.XLOOKUP(C50,Eriheited!$D$124:$D$164,Eriheited!$M$124:$M$164),0)</f>
        <v>3.2608900000000003</v>
      </c>
      <c r="I50" s="218">
        <f>D50*1000000*F50*Ümberarvutused!$H$17</f>
        <v>0</v>
      </c>
      <c r="J50" s="218">
        <f>D50*G50</f>
        <v>0</v>
      </c>
      <c r="K50" s="218">
        <f>D50*H50</f>
        <v>0</v>
      </c>
      <c r="L50" s="219">
        <f>J50+K50</f>
        <v>0</v>
      </c>
      <c r="M50" s="219">
        <f t="shared" si="2"/>
        <v>0</v>
      </c>
      <c r="N50" s="219">
        <f>IFERROR(IF(_xlfn.XLOOKUP(C50,Eriheited!$D$124:$D$166,Eriheited!$B$124:$B$166)="Fossiilkütused",0,I50),0)</f>
        <v>0</v>
      </c>
      <c r="O50" s="238" t="str">
        <f>IFERROR(_xlfn.XLOOKUP(C50,Eriheited!$D$124:$D$164,Eriheited!$C$124:$C$164)," ")</f>
        <v>ei</v>
      </c>
      <c r="P50" s="242">
        <f t="shared" si="3"/>
        <v>0</v>
      </c>
      <c r="Q50" s="243">
        <f>IFERROR(IF(_xlfn.XLOOKUP(C50,Eriheited!$D$124:$D$166,Eriheited!$B$124:$B$166)="Biokütus",2,1)," ")</f>
        <v>1</v>
      </c>
    </row>
    <row r="51" spans="2:17" x14ac:dyDescent="0.25">
      <c r="B51" s="216" t="s">
        <v>541</v>
      </c>
      <c r="C51" s="217" t="s">
        <v>260</v>
      </c>
      <c r="D51" s="216"/>
      <c r="E51" s="221" t="s">
        <v>4</v>
      </c>
      <c r="F51" s="218">
        <f>IFERROR(_xlfn.XLOOKUP(C51,Eriheited!$D$124:$D$164,Eriheited!$F$124:$F$164),0)</f>
        <v>4.2700000000000002E-2</v>
      </c>
      <c r="G51" s="218">
        <f>IFERROR(_xlfn.XLOOKUP(C51,Eriheited!$D$124:$D$164,Eriheited!$N$124:$N$164),0)</f>
        <v>0.61488000000000009</v>
      </c>
      <c r="H51" s="218">
        <f>IFERROR(_xlfn.XLOOKUP(C51,Eriheited!$D$124:$D$164,Eriheited!$M$124:$M$164),0)</f>
        <v>3.2608900000000003</v>
      </c>
      <c r="I51" s="218">
        <f>D51*1000000*F51*Ümberarvutused!$H$17</f>
        <v>0</v>
      </c>
      <c r="J51" s="218">
        <f>D51*G51</f>
        <v>0</v>
      </c>
      <c r="K51" s="218">
        <f t="shared" si="0"/>
        <v>0</v>
      </c>
      <c r="L51" s="219">
        <f t="shared" si="1"/>
        <v>0</v>
      </c>
      <c r="M51" s="219">
        <f t="shared" si="2"/>
        <v>0</v>
      </c>
      <c r="N51" s="219">
        <f>IFERROR(IF(_xlfn.XLOOKUP(C51,Eriheited!$D$124:$D$166,Eriheited!$B$124:$B$166)="Fossiilkütused",0,I51),0)</f>
        <v>0</v>
      </c>
      <c r="O51" s="238" t="str">
        <f>IFERROR(_xlfn.XLOOKUP(C51,Eriheited!$D$124:$D$164,Eriheited!$C$124:$C$164)," ")</f>
        <v>ei</v>
      </c>
      <c r="P51" s="242">
        <f t="shared" si="3"/>
        <v>0</v>
      </c>
      <c r="Q51" s="243">
        <f>IFERROR(IF(_xlfn.XLOOKUP(C51,Eriheited!$D$124:$D$166,Eriheited!$B$124:$B$166)="Biokütus",2,1)," ")</f>
        <v>1</v>
      </c>
    </row>
    <row r="52" spans="2:17" x14ac:dyDescent="0.25">
      <c r="B52" s="216" t="s">
        <v>541</v>
      </c>
      <c r="C52" s="217" t="s">
        <v>560</v>
      </c>
      <c r="D52" s="216"/>
      <c r="E52" s="221" t="s">
        <v>4</v>
      </c>
      <c r="F52" s="218">
        <f>IFERROR(_xlfn.XLOOKUP(C52,Eriheited!$D$124:$D$164,Eriheited!$F$124:$F$164),0)</f>
        <v>0</v>
      </c>
      <c r="G52" s="218">
        <f>IFERROR(_xlfn.XLOOKUP(C52,Eriheited!$D$124:$D$164,Eriheited!$N$124:$N$164),0)</f>
        <v>0</v>
      </c>
      <c r="H52" s="218">
        <f>IFERROR(_xlfn.XLOOKUP(C52,Eriheited!$D$124:$D$164,Eriheited!$M$124:$M$164),0)</f>
        <v>0</v>
      </c>
      <c r="I52" s="218">
        <f>D52*1000000*F52*Ümberarvutused!$H$17</f>
        <v>0</v>
      </c>
      <c r="J52" s="218">
        <f t="shared" ref="J52:J67" si="4">D52*G52</f>
        <v>0</v>
      </c>
      <c r="K52" s="218">
        <f t="shared" ref="K52:K67" si="5">D52*H52</f>
        <v>0</v>
      </c>
      <c r="L52" s="219">
        <f t="shared" ref="L52:L67" si="6">J52+K52</f>
        <v>0</v>
      </c>
      <c r="M52" s="219">
        <f t="shared" si="2"/>
        <v>0</v>
      </c>
      <c r="N52" s="219">
        <f>IFERROR(IF(_xlfn.XLOOKUP(C52,Eriheited!$D$124:$D$166,Eriheited!$B$124:$B$166)="Fossiilkütused",0,I52),0)</f>
        <v>0</v>
      </c>
      <c r="O52" s="238" t="str">
        <f>IFERROR(_xlfn.XLOOKUP(C52,Eriheited!$D$124:$D$164,Eriheited!$C$124:$C$164)," ")</f>
        <v xml:space="preserve"> </v>
      </c>
      <c r="P52" s="242">
        <f t="shared" si="3"/>
        <v>0</v>
      </c>
      <c r="Q52" s="243" t="str">
        <f>IFERROR(IF(_xlfn.XLOOKUP(C52,Eriheited!$D$124:$D$166,Eriheited!$B$124:$B$166)="Biokütus",2,1)," ")</f>
        <v xml:space="preserve"> </v>
      </c>
    </row>
    <row r="53" spans="2:17" x14ac:dyDescent="0.25">
      <c r="B53" s="216" t="s">
        <v>541</v>
      </c>
      <c r="C53" s="217" t="s">
        <v>560</v>
      </c>
      <c r="D53" s="216"/>
      <c r="E53" s="221" t="s">
        <v>4</v>
      </c>
      <c r="F53" s="218">
        <f>IFERROR(_xlfn.XLOOKUP(C53,Eriheited!$D$124:$D$164,Eriheited!$F$124:$F$164),0)</f>
        <v>0</v>
      </c>
      <c r="G53" s="218">
        <f>IFERROR(_xlfn.XLOOKUP(C53,Eriheited!$D$124:$D$164,Eriheited!$N$124:$N$164),0)</f>
        <v>0</v>
      </c>
      <c r="H53" s="218">
        <f>IFERROR(_xlfn.XLOOKUP(C53,Eriheited!$D$124:$D$164,Eriheited!$M$124:$M$164),0)</f>
        <v>0</v>
      </c>
      <c r="I53" s="218">
        <f>D53*1000000*F53*Ümberarvutused!$H$17</f>
        <v>0</v>
      </c>
      <c r="J53" s="218">
        <f t="shared" si="4"/>
        <v>0</v>
      </c>
      <c r="K53" s="218">
        <f t="shared" si="5"/>
        <v>0</v>
      </c>
      <c r="L53" s="219">
        <f t="shared" si="6"/>
        <v>0</v>
      </c>
      <c r="M53" s="219">
        <f t="shared" si="2"/>
        <v>0</v>
      </c>
      <c r="N53" s="219">
        <f>IFERROR(IF(_xlfn.XLOOKUP(C53,Eriheited!$D$124:$D$166,Eriheited!$B$124:$B$166)="Fossiilkütused",0,I53),0)</f>
        <v>0</v>
      </c>
      <c r="O53" s="238" t="str">
        <f>IFERROR(_xlfn.XLOOKUP(C53,Eriheited!$D$124:$D$164,Eriheited!$C$124:$C$164)," ")</f>
        <v xml:space="preserve"> </v>
      </c>
      <c r="P53" s="242">
        <f t="shared" si="3"/>
        <v>0</v>
      </c>
      <c r="Q53" s="243" t="str">
        <f>IFERROR(IF(_xlfn.XLOOKUP(C53,Eriheited!$D$124:$D$166,Eriheited!$B$124:$B$166)="Biokütus",2,1)," ")</f>
        <v xml:space="preserve"> </v>
      </c>
    </row>
    <row r="54" spans="2:17" x14ac:dyDescent="0.25">
      <c r="B54" s="216" t="s">
        <v>541</v>
      </c>
      <c r="C54" s="217" t="s">
        <v>560</v>
      </c>
      <c r="D54" s="216"/>
      <c r="E54" s="221" t="s">
        <v>4</v>
      </c>
      <c r="F54" s="218">
        <f>IFERROR(_xlfn.XLOOKUP(C54,Eriheited!$D$124:$D$164,Eriheited!$F$124:$F$164),0)</f>
        <v>0</v>
      </c>
      <c r="G54" s="218">
        <f>IFERROR(_xlfn.XLOOKUP(C54,Eriheited!$D$124:$D$164,Eriheited!$N$124:$N$164),0)</f>
        <v>0</v>
      </c>
      <c r="H54" s="218">
        <f>IFERROR(_xlfn.XLOOKUP(C54,Eriheited!$D$124:$D$164,Eriheited!$M$124:$M$164),0)</f>
        <v>0</v>
      </c>
      <c r="I54" s="218">
        <f>D54*1000000*F54*Ümberarvutused!$H$17</f>
        <v>0</v>
      </c>
      <c r="J54" s="218">
        <f t="shared" si="4"/>
        <v>0</v>
      </c>
      <c r="K54" s="218">
        <f t="shared" si="5"/>
        <v>0</v>
      </c>
      <c r="L54" s="219">
        <f t="shared" si="6"/>
        <v>0</v>
      </c>
      <c r="M54" s="219">
        <f t="shared" si="2"/>
        <v>0</v>
      </c>
      <c r="N54" s="219">
        <f>IFERROR(IF(_xlfn.XLOOKUP(C54,Eriheited!$D$124:$D$166,Eriheited!$B$124:$B$166)="Fossiilkütused",0,I54),0)</f>
        <v>0</v>
      </c>
      <c r="O54" s="238" t="str">
        <f>IFERROR(_xlfn.XLOOKUP(C54,Eriheited!$D$124:$D$164,Eriheited!$C$124:$C$164)," ")</f>
        <v xml:space="preserve"> </v>
      </c>
      <c r="P54" s="242">
        <f t="shared" si="3"/>
        <v>0</v>
      </c>
      <c r="Q54" s="243" t="str">
        <f>IFERROR(IF(_xlfn.XLOOKUP(C54,Eriheited!$D$124:$D$166,Eriheited!$B$124:$B$166)="Biokütus",2,1)," ")</f>
        <v xml:space="preserve"> </v>
      </c>
    </row>
    <row r="55" spans="2:17" x14ac:dyDescent="0.25">
      <c r="B55" s="216" t="s">
        <v>541</v>
      </c>
      <c r="C55" s="217" t="s">
        <v>560</v>
      </c>
      <c r="D55" s="216"/>
      <c r="E55" s="221" t="s">
        <v>4</v>
      </c>
      <c r="F55" s="218">
        <f>IFERROR(_xlfn.XLOOKUP(C55,Eriheited!$D$124:$D$164,Eriheited!$F$124:$F$164),0)</f>
        <v>0</v>
      </c>
      <c r="G55" s="218">
        <f>IFERROR(_xlfn.XLOOKUP(C55,Eriheited!$D$124:$D$164,Eriheited!$N$124:$N$164),0)</f>
        <v>0</v>
      </c>
      <c r="H55" s="218">
        <f>IFERROR(_xlfn.XLOOKUP(C55,Eriheited!$D$124:$D$164,Eriheited!$M$124:$M$164),0)</f>
        <v>0</v>
      </c>
      <c r="I55" s="218">
        <f>D55*1000000*F55*Ümberarvutused!$H$17</f>
        <v>0</v>
      </c>
      <c r="J55" s="218">
        <f t="shared" si="4"/>
        <v>0</v>
      </c>
      <c r="K55" s="218">
        <f t="shared" si="5"/>
        <v>0</v>
      </c>
      <c r="L55" s="219">
        <f t="shared" si="6"/>
        <v>0</v>
      </c>
      <c r="M55" s="219">
        <f t="shared" si="2"/>
        <v>0</v>
      </c>
      <c r="N55" s="219">
        <f>IFERROR(IF(_xlfn.XLOOKUP(C55,Eriheited!$D$124:$D$166,Eriheited!$B$124:$B$166)="Fossiilkütused",0,I55),0)</f>
        <v>0</v>
      </c>
      <c r="O55" s="238" t="str">
        <f>IFERROR(_xlfn.XLOOKUP(C55,Eriheited!$D$124:$D$164,Eriheited!$C$124:$C$164)," ")</f>
        <v xml:space="preserve"> </v>
      </c>
      <c r="P55" s="242">
        <f t="shared" si="3"/>
        <v>0</v>
      </c>
      <c r="Q55" s="243" t="str">
        <f>IFERROR(IF(_xlfn.XLOOKUP(C55,Eriheited!$D$124:$D$166,Eriheited!$B$124:$B$166)="Biokütus",2,1)," ")</f>
        <v xml:space="preserve"> </v>
      </c>
    </row>
    <row r="56" spans="2:17" x14ac:dyDescent="0.25">
      <c r="B56" s="216" t="s">
        <v>541</v>
      </c>
      <c r="C56" s="217" t="s">
        <v>560</v>
      </c>
      <c r="D56" s="216"/>
      <c r="E56" s="221" t="s">
        <v>4</v>
      </c>
      <c r="F56" s="218">
        <f>IFERROR(_xlfn.XLOOKUP(C56,Eriheited!$D$124:$D$164,Eriheited!$F$124:$F$164),0)</f>
        <v>0</v>
      </c>
      <c r="G56" s="218">
        <f>IFERROR(_xlfn.XLOOKUP(C56,Eriheited!$D$124:$D$164,Eriheited!$N$124:$N$164),0)</f>
        <v>0</v>
      </c>
      <c r="H56" s="218">
        <f>IFERROR(_xlfn.XLOOKUP(C56,Eriheited!$D$124:$D$164,Eriheited!$M$124:$M$164),0)</f>
        <v>0</v>
      </c>
      <c r="I56" s="218">
        <f>D56*1000000*F56*Ümberarvutused!$H$17</f>
        <v>0</v>
      </c>
      <c r="J56" s="218">
        <f t="shared" si="4"/>
        <v>0</v>
      </c>
      <c r="K56" s="218">
        <f t="shared" si="5"/>
        <v>0</v>
      </c>
      <c r="L56" s="219">
        <f t="shared" si="6"/>
        <v>0</v>
      </c>
      <c r="M56" s="219">
        <f t="shared" si="2"/>
        <v>0</v>
      </c>
      <c r="N56" s="219">
        <f>IFERROR(IF(_xlfn.XLOOKUP(C56,Eriheited!$D$124:$D$166,Eriheited!$B$124:$B$166)="Fossiilkütused",0,I56),0)</f>
        <v>0</v>
      </c>
      <c r="O56" s="238" t="str">
        <f>IFERROR(_xlfn.XLOOKUP(C56,Eriheited!$D$124:$D$164,Eriheited!$C$124:$C$164)," ")</f>
        <v xml:space="preserve"> </v>
      </c>
      <c r="P56" s="242">
        <f t="shared" si="3"/>
        <v>0</v>
      </c>
      <c r="Q56" s="243" t="str">
        <f>IFERROR(IF(_xlfn.XLOOKUP(C56,Eriheited!$D$124:$D$166,Eriheited!$B$124:$B$166)="Biokütus",2,1)," ")</f>
        <v xml:space="preserve"> </v>
      </c>
    </row>
    <row r="57" spans="2:17" x14ac:dyDescent="0.25">
      <c r="B57" s="216" t="s">
        <v>541</v>
      </c>
      <c r="C57" s="217" t="s">
        <v>560</v>
      </c>
      <c r="D57" s="216"/>
      <c r="E57" s="221" t="s">
        <v>4</v>
      </c>
      <c r="F57" s="218">
        <f>IFERROR(_xlfn.XLOOKUP(C57,Eriheited!$D$124:$D$164,Eriheited!$F$124:$F$164),0)</f>
        <v>0</v>
      </c>
      <c r="G57" s="218">
        <f>IFERROR(_xlfn.XLOOKUP(C57,Eriheited!$D$124:$D$164,Eriheited!$N$124:$N$164),0)</f>
        <v>0</v>
      </c>
      <c r="H57" s="218">
        <f>IFERROR(_xlfn.XLOOKUP(C57,Eriheited!$D$124:$D$164,Eriheited!$M$124:$M$164),0)</f>
        <v>0</v>
      </c>
      <c r="I57" s="218">
        <f>D57*1000000*F57*Ümberarvutused!$H$17</f>
        <v>0</v>
      </c>
      <c r="J57" s="218">
        <f t="shared" si="4"/>
        <v>0</v>
      </c>
      <c r="K57" s="218">
        <f t="shared" si="5"/>
        <v>0</v>
      </c>
      <c r="L57" s="219">
        <f t="shared" si="6"/>
        <v>0</v>
      </c>
      <c r="M57" s="219">
        <f t="shared" si="2"/>
        <v>0</v>
      </c>
      <c r="N57" s="219">
        <f>IFERROR(IF(_xlfn.XLOOKUP(C57,Eriheited!$D$124:$D$166,Eriheited!$B$124:$B$166)="Fossiilkütused",0,I57),0)</f>
        <v>0</v>
      </c>
      <c r="O57" s="238" t="str">
        <f>IFERROR(_xlfn.XLOOKUP(C57,Eriheited!$D$124:$D$164,Eriheited!$C$124:$C$164)," ")</f>
        <v xml:space="preserve"> </v>
      </c>
      <c r="P57" s="242">
        <f t="shared" si="3"/>
        <v>0</v>
      </c>
      <c r="Q57" s="243" t="str">
        <f>IFERROR(IF(_xlfn.XLOOKUP(C57,Eriheited!$D$124:$D$166,Eriheited!$B$124:$B$166)="Biokütus",2,1)," ")</f>
        <v xml:space="preserve"> </v>
      </c>
    </row>
    <row r="58" spans="2:17" x14ac:dyDescent="0.25">
      <c r="B58" s="216" t="s">
        <v>541</v>
      </c>
      <c r="C58" s="217" t="s">
        <v>560</v>
      </c>
      <c r="D58" s="216"/>
      <c r="E58" s="221" t="s">
        <v>4</v>
      </c>
      <c r="F58" s="218">
        <f>IFERROR(_xlfn.XLOOKUP(C58,Eriheited!$D$124:$D$164,Eriheited!$F$124:$F$164),0)</f>
        <v>0</v>
      </c>
      <c r="G58" s="218">
        <f>IFERROR(_xlfn.XLOOKUP(C58,Eriheited!$D$124:$D$164,Eriheited!$N$124:$N$164),0)</f>
        <v>0</v>
      </c>
      <c r="H58" s="218">
        <f>IFERROR(_xlfn.XLOOKUP(C58,Eriheited!$D$124:$D$164,Eriheited!$M$124:$M$164),0)</f>
        <v>0</v>
      </c>
      <c r="I58" s="218">
        <f>D58*1000000*F58*Ümberarvutused!$H$17</f>
        <v>0</v>
      </c>
      <c r="J58" s="218">
        <f t="shared" si="4"/>
        <v>0</v>
      </c>
      <c r="K58" s="218">
        <f t="shared" si="5"/>
        <v>0</v>
      </c>
      <c r="L58" s="219">
        <f t="shared" si="6"/>
        <v>0</v>
      </c>
      <c r="M58" s="219">
        <f t="shared" si="2"/>
        <v>0</v>
      </c>
      <c r="N58" s="219">
        <f>IFERROR(IF(_xlfn.XLOOKUP(C58,Eriheited!$D$124:$D$166,Eriheited!$B$124:$B$166)="Fossiilkütused",0,I58),0)</f>
        <v>0</v>
      </c>
      <c r="O58" s="238" t="str">
        <f>IFERROR(_xlfn.XLOOKUP(C58,Eriheited!$D$124:$D$164,Eriheited!$C$124:$C$164)," ")</f>
        <v xml:space="preserve"> </v>
      </c>
      <c r="P58" s="242">
        <f t="shared" si="3"/>
        <v>0</v>
      </c>
      <c r="Q58" s="243" t="str">
        <f>IFERROR(IF(_xlfn.XLOOKUP(C58,Eriheited!$D$124:$D$166,Eriheited!$B$124:$B$166)="Biokütus",2,1)," ")</f>
        <v xml:space="preserve"> </v>
      </c>
    </row>
    <row r="59" spans="2:17" x14ac:dyDescent="0.25">
      <c r="B59" s="216" t="s">
        <v>541</v>
      </c>
      <c r="C59" s="217" t="s">
        <v>560</v>
      </c>
      <c r="D59" s="216"/>
      <c r="E59" s="221" t="s">
        <v>4</v>
      </c>
      <c r="F59" s="218">
        <f>IFERROR(_xlfn.XLOOKUP(C59,Eriheited!$D$124:$D$164,Eriheited!$F$124:$F$164),0)</f>
        <v>0</v>
      </c>
      <c r="G59" s="218">
        <f>IFERROR(_xlfn.XLOOKUP(C59,Eriheited!$D$124:$D$164,Eriheited!$N$124:$N$164),0)</f>
        <v>0</v>
      </c>
      <c r="H59" s="218">
        <f>IFERROR(_xlfn.XLOOKUP(C59,Eriheited!$D$124:$D$164,Eriheited!$M$124:$M$164),0)</f>
        <v>0</v>
      </c>
      <c r="I59" s="218">
        <f>D59*1000000*F59*Ümberarvutused!$H$17</f>
        <v>0</v>
      </c>
      <c r="J59" s="218">
        <f t="shared" si="4"/>
        <v>0</v>
      </c>
      <c r="K59" s="218">
        <f t="shared" si="5"/>
        <v>0</v>
      </c>
      <c r="L59" s="219">
        <f t="shared" si="6"/>
        <v>0</v>
      </c>
      <c r="M59" s="219">
        <f t="shared" si="2"/>
        <v>0</v>
      </c>
      <c r="N59" s="219">
        <f>IFERROR(IF(_xlfn.XLOOKUP(C59,Eriheited!$D$124:$D$166,Eriheited!$B$124:$B$166)="Fossiilkütused",0,I59),0)</f>
        <v>0</v>
      </c>
      <c r="O59" s="238" t="str">
        <f>IFERROR(_xlfn.XLOOKUP(C59,Eriheited!$D$124:$D$164,Eriheited!$C$124:$C$164)," ")</f>
        <v xml:space="preserve"> </v>
      </c>
      <c r="P59" s="242">
        <f t="shared" si="3"/>
        <v>0</v>
      </c>
      <c r="Q59" s="243" t="str">
        <f>IFERROR(IF(_xlfn.XLOOKUP(C59,Eriheited!$D$124:$D$166,Eriheited!$B$124:$B$166)="Biokütus",2,1)," ")</f>
        <v xml:space="preserve"> </v>
      </c>
    </row>
    <row r="60" spans="2:17" x14ac:dyDescent="0.25">
      <c r="B60" s="216" t="s">
        <v>541</v>
      </c>
      <c r="C60" s="217" t="s">
        <v>560</v>
      </c>
      <c r="D60" s="216"/>
      <c r="E60" s="221" t="s">
        <v>4</v>
      </c>
      <c r="F60" s="218">
        <f>IFERROR(_xlfn.XLOOKUP(C60,Eriheited!$D$124:$D$164,Eriheited!$F$124:$F$164),0)</f>
        <v>0</v>
      </c>
      <c r="G60" s="218">
        <f>IFERROR(_xlfn.XLOOKUP(C60,Eriheited!$D$124:$D$164,Eriheited!$N$124:$N$164),0)</f>
        <v>0</v>
      </c>
      <c r="H60" s="218">
        <f>IFERROR(_xlfn.XLOOKUP(C60,Eriheited!$D$124:$D$164,Eriheited!$M$124:$M$164),0)</f>
        <v>0</v>
      </c>
      <c r="I60" s="218">
        <f>D60*1000000*F60*Ümberarvutused!$H$17</f>
        <v>0</v>
      </c>
      <c r="J60" s="218">
        <f t="shared" si="4"/>
        <v>0</v>
      </c>
      <c r="K60" s="218">
        <f t="shared" si="5"/>
        <v>0</v>
      </c>
      <c r="L60" s="219">
        <f t="shared" si="6"/>
        <v>0</v>
      </c>
      <c r="M60" s="219">
        <f t="shared" si="2"/>
        <v>0</v>
      </c>
      <c r="N60" s="219">
        <f>IFERROR(IF(_xlfn.XLOOKUP(C60,Eriheited!$D$124:$D$166,Eriheited!$B$124:$B$166)="Fossiilkütused",0,I60),0)</f>
        <v>0</v>
      </c>
      <c r="O60" s="238" t="str">
        <f>IFERROR(_xlfn.XLOOKUP(C60,Eriheited!$D$124:$D$164,Eriheited!$C$124:$C$164)," ")</f>
        <v xml:space="preserve"> </v>
      </c>
      <c r="P60" s="242">
        <f t="shared" si="3"/>
        <v>0</v>
      </c>
      <c r="Q60" s="243" t="str">
        <f>IFERROR(IF(_xlfn.XLOOKUP(C60,Eriheited!$D$124:$D$166,Eriheited!$B$124:$B$166)="Biokütus",2,1)," ")</f>
        <v xml:space="preserve"> </v>
      </c>
    </row>
    <row r="61" spans="2:17" x14ac:dyDescent="0.25">
      <c r="B61" s="216" t="s">
        <v>541</v>
      </c>
      <c r="C61" s="217" t="s">
        <v>560</v>
      </c>
      <c r="D61" s="216"/>
      <c r="E61" s="221" t="s">
        <v>4</v>
      </c>
      <c r="F61" s="218">
        <f>IFERROR(_xlfn.XLOOKUP(C61,Eriheited!$D$124:$D$164,Eriheited!$F$124:$F$164),0)</f>
        <v>0</v>
      </c>
      <c r="G61" s="218">
        <f>IFERROR(_xlfn.XLOOKUP(C61,Eriheited!$D$124:$D$164,Eriheited!$N$124:$N$164),0)</f>
        <v>0</v>
      </c>
      <c r="H61" s="218">
        <f>IFERROR(_xlfn.XLOOKUP(C61,Eriheited!$D$124:$D$164,Eriheited!$M$124:$M$164),0)</f>
        <v>0</v>
      </c>
      <c r="I61" s="218">
        <f>D61*1000000*F61*Ümberarvutused!$H$17</f>
        <v>0</v>
      </c>
      <c r="J61" s="218">
        <f t="shared" si="4"/>
        <v>0</v>
      </c>
      <c r="K61" s="218">
        <f t="shared" si="5"/>
        <v>0</v>
      </c>
      <c r="L61" s="219">
        <f t="shared" si="6"/>
        <v>0</v>
      </c>
      <c r="M61" s="219">
        <f t="shared" si="2"/>
        <v>0</v>
      </c>
      <c r="N61" s="219">
        <f>IFERROR(IF(_xlfn.XLOOKUP(C61,Eriheited!$D$124:$D$166,Eriheited!$B$124:$B$166)="Fossiilkütused",0,I61),0)</f>
        <v>0</v>
      </c>
      <c r="O61" s="238" t="str">
        <f>IFERROR(_xlfn.XLOOKUP(C61,Eriheited!$D$124:$D$164,Eriheited!$C$124:$C$164)," ")</f>
        <v xml:space="preserve"> </v>
      </c>
      <c r="P61" s="242">
        <f t="shared" si="3"/>
        <v>0</v>
      </c>
      <c r="Q61" s="243" t="str">
        <f>IFERROR(IF(_xlfn.XLOOKUP(C61,Eriheited!$D$124:$D$166,Eriheited!$B$124:$B$166)="Biokütus",2,1)," ")</f>
        <v xml:space="preserve"> </v>
      </c>
    </row>
    <row r="62" spans="2:17" x14ac:dyDescent="0.25">
      <c r="B62" s="216" t="s">
        <v>541</v>
      </c>
      <c r="C62" s="217" t="s">
        <v>560</v>
      </c>
      <c r="D62" s="216"/>
      <c r="E62" s="221" t="s">
        <v>4</v>
      </c>
      <c r="F62" s="218">
        <f>IFERROR(_xlfn.XLOOKUP(C62,Eriheited!$D$124:$D$164,Eriheited!$F$124:$F$164),0)</f>
        <v>0</v>
      </c>
      <c r="G62" s="218">
        <f>IFERROR(_xlfn.XLOOKUP(C62,Eriheited!$D$124:$D$164,Eriheited!$N$124:$N$164),0)</f>
        <v>0</v>
      </c>
      <c r="H62" s="218">
        <f>IFERROR(_xlfn.XLOOKUP(C62,Eriheited!$D$124:$D$164,Eriheited!$M$124:$M$164),0)</f>
        <v>0</v>
      </c>
      <c r="I62" s="218">
        <f>D62*1000000*F62*Ümberarvutused!$H$17</f>
        <v>0</v>
      </c>
      <c r="J62" s="218">
        <f t="shared" si="4"/>
        <v>0</v>
      </c>
      <c r="K62" s="218">
        <f t="shared" si="5"/>
        <v>0</v>
      </c>
      <c r="L62" s="219">
        <f t="shared" si="6"/>
        <v>0</v>
      </c>
      <c r="M62" s="219">
        <f t="shared" si="2"/>
        <v>0</v>
      </c>
      <c r="N62" s="219">
        <f>IFERROR(IF(_xlfn.XLOOKUP(C62,Eriheited!$D$124:$D$166,Eriheited!$B$124:$B$166)="Fossiilkütused",0,I62),0)</f>
        <v>0</v>
      </c>
      <c r="O62" s="238" t="str">
        <f>IFERROR(_xlfn.XLOOKUP(C62,Eriheited!$D$124:$D$164,Eriheited!$C$124:$C$164)," ")</f>
        <v xml:space="preserve"> </v>
      </c>
      <c r="P62" s="242">
        <f t="shared" si="3"/>
        <v>0</v>
      </c>
      <c r="Q62" s="243" t="str">
        <f>IFERROR(IF(_xlfn.XLOOKUP(C62,Eriheited!$D$124:$D$166,Eriheited!$B$124:$B$166)="Biokütus",2,1)," ")</f>
        <v xml:space="preserve"> </v>
      </c>
    </row>
    <row r="63" spans="2:17" x14ac:dyDescent="0.25">
      <c r="B63" s="216" t="s">
        <v>541</v>
      </c>
      <c r="C63" s="217" t="s">
        <v>560</v>
      </c>
      <c r="D63" s="216"/>
      <c r="E63" s="221" t="s">
        <v>4</v>
      </c>
      <c r="F63" s="218">
        <f>IFERROR(_xlfn.XLOOKUP(C63,Eriheited!$D$124:$D$164,Eriheited!$F$124:$F$164),0)</f>
        <v>0</v>
      </c>
      <c r="G63" s="218">
        <f>IFERROR(_xlfn.XLOOKUP(C63,Eriheited!$D$124:$D$164,Eriheited!$N$124:$N$164),0)</f>
        <v>0</v>
      </c>
      <c r="H63" s="218">
        <f>IFERROR(_xlfn.XLOOKUP(C63,Eriheited!$D$124:$D$164,Eriheited!$M$124:$M$164),0)</f>
        <v>0</v>
      </c>
      <c r="I63" s="218">
        <f>D63*1000000*F63*Ümberarvutused!$H$17</f>
        <v>0</v>
      </c>
      <c r="J63" s="218">
        <f t="shared" si="4"/>
        <v>0</v>
      </c>
      <c r="K63" s="218">
        <f>D63*H63</f>
        <v>0</v>
      </c>
      <c r="L63" s="219">
        <f>J63+K63</f>
        <v>0</v>
      </c>
      <c r="M63" s="219">
        <f t="shared" si="2"/>
        <v>0</v>
      </c>
      <c r="N63" s="219">
        <f>IFERROR(IF(_xlfn.XLOOKUP(C63,Eriheited!$D$124:$D$166,Eriheited!$B$124:$B$166)="Fossiilkütused",0,I63),0)</f>
        <v>0</v>
      </c>
      <c r="O63" s="238" t="str">
        <f>IFERROR(_xlfn.XLOOKUP(C63,Eriheited!$D$124:$D$164,Eriheited!$C$124:$C$164)," ")</f>
        <v xml:space="preserve"> </v>
      </c>
      <c r="P63" s="242">
        <f t="shared" si="3"/>
        <v>0</v>
      </c>
      <c r="Q63" s="243" t="str">
        <f>IFERROR(IF(_xlfn.XLOOKUP(C63,Eriheited!$D$124:$D$166,Eriheited!$B$124:$B$166)="Biokütus",2,1)," ")</f>
        <v xml:space="preserve"> </v>
      </c>
    </row>
    <row r="64" spans="2:17" x14ac:dyDescent="0.25">
      <c r="B64" s="216" t="s">
        <v>541</v>
      </c>
      <c r="C64" s="217" t="s">
        <v>560</v>
      </c>
      <c r="D64" s="216"/>
      <c r="E64" s="221" t="s">
        <v>4</v>
      </c>
      <c r="F64" s="218">
        <f>IFERROR(_xlfn.XLOOKUP(C64,Eriheited!$D$124:$D$164,Eriheited!$F$124:$F$164),0)</f>
        <v>0</v>
      </c>
      <c r="G64" s="218">
        <f>IFERROR(_xlfn.XLOOKUP(C64,Eriheited!$D$124:$D$164,Eriheited!$N$124:$N$164),0)</f>
        <v>0</v>
      </c>
      <c r="H64" s="218">
        <f>IFERROR(_xlfn.XLOOKUP(C64,Eriheited!$D$124:$D$164,Eriheited!$M$124:$M$164),0)</f>
        <v>0</v>
      </c>
      <c r="I64" s="218">
        <f>D64*1000000*F64*Ümberarvutused!$H$17</f>
        <v>0</v>
      </c>
      <c r="J64" s="218">
        <f t="shared" si="4"/>
        <v>0</v>
      </c>
      <c r="K64" s="218">
        <f t="shared" si="5"/>
        <v>0</v>
      </c>
      <c r="L64" s="219">
        <f t="shared" si="6"/>
        <v>0</v>
      </c>
      <c r="M64" s="219">
        <f t="shared" si="2"/>
        <v>0</v>
      </c>
      <c r="N64" s="219">
        <f>IFERROR(IF(_xlfn.XLOOKUP(C64,Eriheited!$D$124:$D$166,Eriheited!$B$124:$B$166)="Fossiilkütused",0,I64),0)</f>
        <v>0</v>
      </c>
      <c r="O64" s="238" t="str">
        <f>IFERROR(_xlfn.XLOOKUP(C64,Eriheited!$D$124:$D$164,Eriheited!$C$124:$C$164)," ")</f>
        <v xml:space="preserve"> </v>
      </c>
      <c r="P64" s="242">
        <f t="shared" si="3"/>
        <v>0</v>
      </c>
      <c r="Q64" s="243" t="str">
        <f>IFERROR(IF(_xlfn.XLOOKUP(C64,Eriheited!$D$124:$D$166,Eriheited!$B$124:$B$166)="Biokütus",2,1)," ")</f>
        <v xml:space="preserve"> </v>
      </c>
    </row>
    <row r="65" spans="2:17" x14ac:dyDescent="0.25">
      <c r="B65" s="216" t="s">
        <v>541</v>
      </c>
      <c r="C65" s="217" t="s">
        <v>560</v>
      </c>
      <c r="D65" s="216"/>
      <c r="E65" s="221" t="s">
        <v>4</v>
      </c>
      <c r="F65" s="218">
        <f>IFERROR(_xlfn.XLOOKUP(C65,Eriheited!$D$124:$D$164,Eriheited!$F$124:$F$164),0)</f>
        <v>0</v>
      </c>
      <c r="G65" s="218">
        <f>IFERROR(_xlfn.XLOOKUP(C65,Eriheited!$D$124:$D$164,Eriheited!$N$124:$N$164),0)</f>
        <v>0</v>
      </c>
      <c r="H65" s="218">
        <f>IFERROR(_xlfn.XLOOKUP(C65,Eriheited!$D$124:$D$164,Eriheited!$M$124:$M$164),0)</f>
        <v>0</v>
      </c>
      <c r="I65" s="218">
        <f>D65*1000000*F65*Ümberarvutused!$H$17</f>
        <v>0</v>
      </c>
      <c r="J65" s="218">
        <f t="shared" si="4"/>
        <v>0</v>
      </c>
      <c r="K65" s="218">
        <f t="shared" si="5"/>
        <v>0</v>
      </c>
      <c r="L65" s="219">
        <f t="shared" si="6"/>
        <v>0</v>
      </c>
      <c r="M65" s="219">
        <f t="shared" si="2"/>
        <v>0</v>
      </c>
      <c r="N65" s="219">
        <f>IFERROR(IF(_xlfn.XLOOKUP(C65,Eriheited!$D$124:$D$166,Eriheited!$B$124:$B$166)="Fossiilkütused",0,I65),0)</f>
        <v>0</v>
      </c>
      <c r="O65" s="238" t="str">
        <f>IFERROR(_xlfn.XLOOKUP(C65,Eriheited!$D$124:$D$164,Eriheited!$C$124:$C$164)," ")</f>
        <v xml:space="preserve"> </v>
      </c>
      <c r="P65" s="242">
        <f t="shared" si="3"/>
        <v>0</v>
      </c>
      <c r="Q65" s="243" t="str">
        <f>IFERROR(IF(_xlfn.XLOOKUP(C65,Eriheited!$D$124:$D$166,Eriheited!$B$124:$B$166)="Biokütus",2,1)," ")</f>
        <v xml:space="preserve"> </v>
      </c>
    </row>
    <row r="66" spans="2:17" x14ac:dyDescent="0.25">
      <c r="B66" s="216" t="s">
        <v>541</v>
      </c>
      <c r="C66" s="217" t="s">
        <v>560</v>
      </c>
      <c r="D66" s="216"/>
      <c r="E66" s="221" t="s">
        <v>4</v>
      </c>
      <c r="F66" s="218">
        <f>IFERROR(_xlfn.XLOOKUP(C66,Eriheited!$D$124:$D$164,Eriheited!$F$124:$F$164),0)</f>
        <v>0</v>
      </c>
      <c r="G66" s="218">
        <f>IFERROR(_xlfn.XLOOKUP(C66,Eriheited!$D$124:$D$164,Eriheited!$N$124:$N$164),0)</f>
        <v>0</v>
      </c>
      <c r="H66" s="218">
        <f>IFERROR(_xlfn.XLOOKUP(C66,Eriheited!$D$124:$D$164,Eriheited!$M$124:$M$164),0)</f>
        <v>0</v>
      </c>
      <c r="I66" s="218">
        <f>D66*1000000*F66*Ümberarvutused!$H$17</f>
        <v>0</v>
      </c>
      <c r="J66" s="218">
        <f t="shared" si="4"/>
        <v>0</v>
      </c>
      <c r="K66" s="218">
        <f t="shared" si="5"/>
        <v>0</v>
      </c>
      <c r="L66" s="219">
        <f t="shared" si="6"/>
        <v>0</v>
      </c>
      <c r="M66" s="219">
        <f t="shared" si="2"/>
        <v>0</v>
      </c>
      <c r="N66" s="219">
        <f>IFERROR(IF(_xlfn.XLOOKUP(C66,Eriheited!$D$124:$D$166,Eriheited!$B$124:$B$166)="Fossiilkütused",0,I66),0)</f>
        <v>0</v>
      </c>
      <c r="O66" s="238" t="str">
        <f>IFERROR(_xlfn.XLOOKUP(C66,Eriheited!$D$124:$D$164,Eriheited!$C$124:$C$164)," ")</f>
        <v xml:space="preserve"> </v>
      </c>
      <c r="P66" s="242">
        <f t="shared" si="3"/>
        <v>0</v>
      </c>
      <c r="Q66" s="243" t="str">
        <f>IFERROR(IF(_xlfn.XLOOKUP(C66,Eriheited!$D$124:$D$166,Eriheited!$B$124:$B$166)="Biokütus",2,1)," ")</f>
        <v xml:space="preserve"> </v>
      </c>
    </row>
    <row r="67" spans="2:17" x14ac:dyDescent="0.25">
      <c r="B67" s="216" t="s">
        <v>541</v>
      </c>
      <c r="C67" s="217" t="s">
        <v>560</v>
      </c>
      <c r="D67" s="216"/>
      <c r="E67" s="221" t="s">
        <v>4</v>
      </c>
      <c r="F67" s="218">
        <f>IFERROR(_xlfn.XLOOKUP(C67,Eriheited!$D$124:$D$164,Eriheited!$F$124:$F$164),0)</f>
        <v>0</v>
      </c>
      <c r="G67" s="218">
        <f>IFERROR(_xlfn.XLOOKUP(C67,Eriheited!$D$124:$D$164,Eriheited!$N$124:$N$164),0)</f>
        <v>0</v>
      </c>
      <c r="H67" s="218">
        <f>IFERROR(_xlfn.XLOOKUP(C67,Eriheited!$D$124:$D$164,Eriheited!$M$124:$M$164),0)</f>
        <v>0</v>
      </c>
      <c r="I67" s="218">
        <f>D67*1000000*F67*Ümberarvutused!$H$17</f>
        <v>0</v>
      </c>
      <c r="J67" s="218">
        <f t="shared" si="4"/>
        <v>0</v>
      </c>
      <c r="K67" s="218">
        <f t="shared" si="5"/>
        <v>0</v>
      </c>
      <c r="L67" s="219">
        <f t="shared" si="6"/>
        <v>0</v>
      </c>
      <c r="M67" s="219">
        <f t="shared" si="2"/>
        <v>0</v>
      </c>
      <c r="N67" s="219">
        <f>IFERROR(IF(_xlfn.XLOOKUP(C67,Eriheited!$D$124:$D$166,Eriheited!$B$124:$B$166)="Fossiilkütused",0,I67),0)</f>
        <v>0</v>
      </c>
      <c r="O67" s="238" t="str">
        <f>IFERROR(_xlfn.XLOOKUP(C67,Eriheited!$D$124:$D$164,Eriheited!$C$124:$C$164)," ")</f>
        <v xml:space="preserve"> </v>
      </c>
      <c r="P67" s="242">
        <f t="shared" si="3"/>
        <v>0</v>
      </c>
      <c r="Q67" s="243" t="str">
        <f>IFERROR(IF(_xlfn.XLOOKUP(C67,Eriheited!$D$124:$D$166,Eriheited!$B$124:$B$166)="Biokütus",2,1)," ")</f>
        <v xml:space="preserve"> </v>
      </c>
    </row>
    <row r="68" spans="2:17" x14ac:dyDescent="0.25">
      <c r="B68" s="308" t="s">
        <v>259</v>
      </c>
      <c r="C68" s="309"/>
      <c r="D68" s="309"/>
      <c r="E68" s="309"/>
      <c r="F68" s="309"/>
      <c r="G68" s="309"/>
      <c r="H68" s="310"/>
      <c r="I68" s="220">
        <f>SUM(I48:I67)</f>
        <v>0</v>
      </c>
      <c r="J68" s="220">
        <f t="shared" ref="J68:K68" si="7">SUM(J48:J67)</f>
        <v>0</v>
      </c>
      <c r="K68" s="220">
        <f t="shared" si="7"/>
        <v>0</v>
      </c>
      <c r="L68" s="220">
        <f>SUM(L48:L67)</f>
        <v>0</v>
      </c>
      <c r="M68" s="220">
        <f>SUM(M48:M67)</f>
        <v>0</v>
      </c>
      <c r="N68" s="220">
        <f>SUM(N48:N67)</f>
        <v>0</v>
      </c>
      <c r="O68" s="241"/>
      <c r="P68" s="241">
        <f>SUM(P48:P67)</f>
        <v>0</v>
      </c>
      <c r="Q68" s="241"/>
    </row>
    <row r="69" spans="2:17" s="202" customFormat="1" x14ac:dyDescent="0.25"/>
    <row r="70" spans="2:17" s="202" customFormat="1" x14ac:dyDescent="0.25">
      <c r="B70" s="203" t="s">
        <v>584</v>
      </c>
    </row>
    <row r="71" spans="2:17" s="202" customFormat="1" ht="18" x14ac:dyDescent="0.35">
      <c r="B71" s="207" t="s">
        <v>561</v>
      </c>
      <c r="C71" s="229">
        <f>L68</f>
        <v>0</v>
      </c>
      <c r="D71" s="224" t="s">
        <v>510</v>
      </c>
    </row>
    <row r="72" spans="2:17" s="202" customFormat="1" ht="33.6" customHeight="1" x14ac:dyDescent="0.25">
      <c r="B72" s="225" t="s">
        <v>562</v>
      </c>
      <c r="C72" s="230"/>
      <c r="D72" s="226"/>
    </row>
    <row r="73" spans="2:17" s="202" customFormat="1" x14ac:dyDescent="0.25">
      <c r="B73" s="227" t="s">
        <v>563</v>
      </c>
      <c r="C73" s="229" t="e">
        <f>((1*C71)/I68)/Ümberarvutused!$I$13*1000000</f>
        <v>#DIV/0!</v>
      </c>
      <c r="D73" s="222" t="s">
        <v>564</v>
      </c>
    </row>
    <row r="74" spans="2:17" s="202" customFormat="1" ht="42.95" customHeight="1" x14ac:dyDescent="0.25">
      <c r="B74" s="228" t="s">
        <v>565</v>
      </c>
      <c r="C74" s="292">
        <f>$B$155</f>
        <v>89.336799999999997</v>
      </c>
      <c r="D74" s="222" t="s">
        <v>564</v>
      </c>
      <c r="E74"/>
      <c r="F74" s="294"/>
      <c r="G74"/>
    </row>
    <row r="75" spans="2:17" s="202" customFormat="1" x14ac:dyDescent="0.25"/>
    <row r="76" spans="2:17" s="202" customFormat="1" x14ac:dyDescent="0.25">
      <c r="C76" s="202" t="s">
        <v>582</v>
      </c>
    </row>
    <row r="77" spans="2:17" s="202" customFormat="1" x14ac:dyDescent="0.25">
      <c r="B77" s="203" t="s">
        <v>579</v>
      </c>
    </row>
    <row r="78" spans="2:17" s="202" customFormat="1" x14ac:dyDescent="0.25"/>
    <row r="79" spans="2:17" s="202" customFormat="1" ht="14.45" customHeight="1" x14ac:dyDescent="0.25">
      <c r="B79" s="307" t="s">
        <v>650</v>
      </c>
      <c r="C79" s="307"/>
      <c r="D79" s="307"/>
      <c r="E79" s="307"/>
      <c r="F79" s="307"/>
      <c r="G79" s="307"/>
      <c r="H79" s="307"/>
      <c r="I79" s="307"/>
      <c r="J79" s="307"/>
      <c r="K79" s="307"/>
      <c r="L79" s="307"/>
      <c r="M79" s="307"/>
      <c r="N79" s="307"/>
      <c r="O79" s="307"/>
    </row>
    <row r="80" spans="2:17" s="202" customFormat="1" x14ac:dyDescent="0.25">
      <c r="B80" s="307"/>
      <c r="C80" s="307"/>
      <c r="D80" s="307"/>
      <c r="E80" s="307"/>
      <c r="F80" s="307"/>
      <c r="G80" s="307"/>
      <c r="H80" s="307"/>
      <c r="I80" s="307"/>
      <c r="J80" s="307"/>
      <c r="K80" s="307"/>
      <c r="L80" s="307"/>
      <c r="M80" s="307"/>
      <c r="N80" s="307"/>
      <c r="O80" s="307"/>
    </row>
    <row r="81" spans="2:17" s="202" customFormat="1" x14ac:dyDescent="0.25">
      <c r="B81" s="307"/>
      <c r="C81" s="307"/>
      <c r="D81" s="307"/>
      <c r="E81" s="307"/>
      <c r="F81" s="307"/>
      <c r="G81" s="307"/>
      <c r="H81" s="307"/>
      <c r="I81" s="307"/>
      <c r="J81" s="307"/>
      <c r="K81" s="307"/>
      <c r="L81" s="307"/>
      <c r="M81" s="307"/>
      <c r="N81" s="307"/>
      <c r="O81" s="307"/>
    </row>
    <row r="82" spans="2:17" s="202" customFormat="1" x14ac:dyDescent="0.25">
      <c r="B82" s="307"/>
      <c r="C82" s="307"/>
      <c r="D82" s="307"/>
      <c r="E82" s="307"/>
      <c r="F82" s="307"/>
      <c r="G82" s="307"/>
      <c r="H82" s="307"/>
      <c r="I82" s="307"/>
      <c r="J82" s="307"/>
      <c r="K82" s="307"/>
      <c r="L82" s="307"/>
      <c r="M82" s="307"/>
      <c r="N82" s="307"/>
      <c r="O82" s="307"/>
    </row>
    <row r="83" spans="2:17" s="202" customFormat="1" ht="57.95" customHeight="1" x14ac:dyDescent="0.25">
      <c r="B83" s="307"/>
      <c r="C83" s="307"/>
      <c r="D83" s="307"/>
      <c r="E83" s="307"/>
      <c r="F83" s="307"/>
      <c r="G83" s="307"/>
      <c r="H83" s="307"/>
      <c r="I83" s="307"/>
      <c r="J83" s="307"/>
      <c r="K83" s="307"/>
      <c r="L83" s="307"/>
      <c r="M83" s="307"/>
      <c r="N83" s="307"/>
      <c r="O83" s="307"/>
    </row>
    <row r="84" spans="2:17" s="202" customFormat="1" x14ac:dyDescent="0.25">
      <c r="B84" s="231"/>
      <c r="C84" s="231"/>
      <c r="D84" s="231"/>
      <c r="E84" s="231"/>
      <c r="F84" s="231"/>
      <c r="G84" s="231"/>
      <c r="H84" s="231"/>
      <c r="I84" s="231"/>
      <c r="J84" s="231"/>
      <c r="K84" s="231"/>
      <c r="L84" s="231"/>
      <c r="M84" s="231"/>
      <c r="N84" s="231"/>
      <c r="O84" s="231"/>
    </row>
    <row r="85" spans="2:17" s="202" customFormat="1" x14ac:dyDescent="0.25">
      <c r="B85" s="321" t="s">
        <v>544</v>
      </c>
      <c r="C85" s="321"/>
      <c r="D85" s="231"/>
      <c r="E85" s="231"/>
      <c r="F85" s="231"/>
      <c r="G85" s="231"/>
      <c r="H85" s="231"/>
      <c r="I85" s="231"/>
      <c r="J85" s="231"/>
      <c r="K85" s="231"/>
      <c r="L85" s="231"/>
      <c r="M85" s="231"/>
      <c r="N85" s="231"/>
      <c r="O85" s="231"/>
    </row>
    <row r="86" spans="2:17" s="202" customFormat="1" x14ac:dyDescent="0.25">
      <c r="B86" s="304" t="s">
        <v>545</v>
      </c>
      <c r="C86" s="304"/>
      <c r="D86" s="231"/>
      <c r="E86" s="231"/>
      <c r="F86" s="231"/>
      <c r="G86" s="231"/>
      <c r="H86" s="231"/>
      <c r="I86" s="231"/>
      <c r="J86" s="231"/>
      <c r="K86" s="231"/>
      <c r="L86" s="231"/>
      <c r="M86" s="231"/>
      <c r="N86" s="231"/>
      <c r="O86" s="231"/>
    </row>
    <row r="87" spans="2:17" s="202" customFormat="1" x14ac:dyDescent="0.25">
      <c r="B87" s="306" t="s">
        <v>553</v>
      </c>
      <c r="C87" s="306"/>
      <c r="D87" s="231"/>
      <c r="E87" s="231"/>
      <c r="F87" s="231"/>
      <c r="G87" s="231"/>
      <c r="H87" s="231"/>
      <c r="I87" s="231"/>
      <c r="J87" s="231"/>
      <c r="K87" s="231"/>
      <c r="L87" s="231"/>
      <c r="M87" s="231"/>
      <c r="N87" s="231"/>
      <c r="O87" s="231"/>
    </row>
    <row r="88" spans="2:17" s="202" customFormat="1" x14ac:dyDescent="0.25"/>
    <row r="89" spans="2:17" s="202" customFormat="1" ht="99.6" customHeight="1" x14ac:dyDescent="0.25">
      <c r="B89" s="205" t="s">
        <v>571</v>
      </c>
      <c r="C89" s="206" t="s">
        <v>542</v>
      </c>
      <c r="D89" s="205" t="s">
        <v>543</v>
      </c>
      <c r="E89" s="205" t="s">
        <v>559</v>
      </c>
      <c r="F89" s="205" t="s">
        <v>547</v>
      </c>
      <c r="G89" s="205" t="s">
        <v>549</v>
      </c>
      <c r="H89" s="205" t="s">
        <v>548</v>
      </c>
      <c r="I89" s="205" t="s">
        <v>546</v>
      </c>
      <c r="J89" s="205" t="s">
        <v>575</v>
      </c>
      <c r="K89" s="205" t="s">
        <v>576</v>
      </c>
      <c r="L89" s="205" t="s">
        <v>577</v>
      </c>
      <c r="M89" s="205" t="s">
        <v>554</v>
      </c>
      <c r="N89" s="205" t="s">
        <v>573</v>
      </c>
      <c r="O89" s="205" t="s">
        <v>503</v>
      </c>
      <c r="P89" s="205" t="s">
        <v>578</v>
      </c>
      <c r="Q89" s="205" t="s">
        <v>253</v>
      </c>
    </row>
    <row r="90" spans="2:17" s="202" customFormat="1" x14ac:dyDescent="0.25">
      <c r="B90" s="221" t="s">
        <v>557</v>
      </c>
      <c r="C90" s="217" t="s">
        <v>501</v>
      </c>
      <c r="D90" s="216"/>
      <c r="E90" s="221" t="s">
        <v>13</v>
      </c>
      <c r="F90" s="205"/>
      <c r="G90" s="218">
        <f>IFERROR(_xlfn.XLOOKUP(C90,Eriheited!$D$124:$D$164,Eriheited!$N$124:$N$164),0)</f>
        <v>0</v>
      </c>
      <c r="H90" s="218">
        <f>IFERROR(_xlfn.XLOOKUP(C90,Eriheited!$D$124:$D$164,Eriheited!$M$124:$M$164),0)</f>
        <v>0</v>
      </c>
      <c r="I90" s="218">
        <f>D90</f>
        <v>0</v>
      </c>
      <c r="J90" s="218">
        <f>D90*G90</f>
        <v>0</v>
      </c>
      <c r="K90" s="218">
        <f>D90*H90</f>
        <v>0</v>
      </c>
      <c r="L90" s="219">
        <f>J90+K90</f>
        <v>0</v>
      </c>
      <c r="M90" s="219">
        <f>IFERROR((I90/$I$110*100),0)</f>
        <v>0</v>
      </c>
      <c r="N90" s="219">
        <f>IFERROR(IF(_xlfn.XLOOKUP(C90,Eriheited!$D$124:$D$166,Eriheited!$B$124:$B$166)="Fossiilkütused",0,I90),0)</f>
        <v>0</v>
      </c>
      <c r="O90" s="238" t="str">
        <f>IFERROR(_xlfn.XLOOKUP(C90,Eriheited!$D$124:$D$164,Eriheited!$C$124:$C$164)," ")</f>
        <v>jah</v>
      </c>
      <c r="P90" s="239">
        <f>M90*IF(O90="jah",1,0)</f>
        <v>0</v>
      </c>
      <c r="Q90" s="240">
        <f>IFERROR(IF(_xlfn.XLOOKUP(C90,Eriheited!$D$124:$D$166,Eriheited!$B$124:$B$166)="Biokütus",2,1)," ")</f>
        <v>1</v>
      </c>
    </row>
    <row r="91" spans="2:17" s="202" customFormat="1" ht="30" x14ac:dyDescent="0.25">
      <c r="B91" s="245" t="s">
        <v>581</v>
      </c>
      <c r="C91" s="217" t="s">
        <v>500</v>
      </c>
      <c r="D91" s="216"/>
      <c r="E91" s="221" t="s">
        <v>13</v>
      </c>
      <c r="F91" s="205"/>
      <c r="G91" s="218">
        <f>IFERROR(_xlfn.XLOOKUP(C91,Eriheited!$D$124:$D$164,Eriheited!$N$124:$N$164),0)</f>
        <v>0</v>
      </c>
      <c r="H91" s="218">
        <f>IFERROR(_xlfn.XLOOKUP(C91,Eriheited!$D$124:$D$164,Eriheited!$M$124:$M$164),0)</f>
        <v>0</v>
      </c>
      <c r="I91" s="218">
        <f>D91</f>
        <v>0</v>
      </c>
      <c r="J91" s="218">
        <f>D91*G91</f>
        <v>0</v>
      </c>
      <c r="K91" s="218">
        <f t="shared" ref="K91" si="8">D91*H91</f>
        <v>0</v>
      </c>
      <c r="L91" s="219">
        <f t="shared" ref="L91" si="9">J91+K91</f>
        <v>0</v>
      </c>
      <c r="M91" s="219">
        <f t="shared" ref="M91:M109" si="10">IFERROR((I91/$I$110*100),0)</f>
        <v>0</v>
      </c>
      <c r="N91" s="219">
        <f>IFERROR(IF(_xlfn.XLOOKUP(C91,Eriheited!$D$124:$D$166,Eriheited!$B$124:$B$166)="Fossiilkütused",0,I91),0)</f>
        <v>0</v>
      </c>
      <c r="O91" s="238" t="str">
        <f>IFERROR(_xlfn.XLOOKUP(C91,Eriheited!$D$124:$D$164,Eriheited!$C$124:$C$164)," ")</f>
        <v>jah</v>
      </c>
      <c r="P91" s="239">
        <f t="shared" ref="P91:P109" si="11">M91*IF(O91="jah",1,0)</f>
        <v>0</v>
      </c>
      <c r="Q91" s="240">
        <f>IFERROR(IF(_xlfn.XLOOKUP(C91,Eriheited!$D$124:$D$166,Eriheited!$B$124:$B$166)="Biokütus",2,1)," ")</f>
        <v>1</v>
      </c>
    </row>
    <row r="92" spans="2:17" s="202" customFormat="1" x14ac:dyDescent="0.25">
      <c r="B92" s="216" t="s">
        <v>541</v>
      </c>
      <c r="C92" s="217" t="s">
        <v>560</v>
      </c>
      <c r="D92" s="216"/>
      <c r="E92" s="221" t="s">
        <v>4</v>
      </c>
      <c r="F92" s="218">
        <f>IFERROR(_xlfn.XLOOKUP(C92,Eriheited!$D$124:$D$164,Eriheited!$F$124:$F$164),0)</f>
        <v>0</v>
      </c>
      <c r="G92" s="218">
        <f>IFERROR(_xlfn.XLOOKUP(C92,Eriheited!$D$124:$D$164,Eriheited!$N$124:$N$164),0)</f>
        <v>0</v>
      </c>
      <c r="H92" s="218">
        <f>IFERROR(_xlfn.XLOOKUP(C92,Eriheited!$D$124:$D$164,Eriheited!$M$124:$M$164),0)</f>
        <v>0</v>
      </c>
      <c r="I92" s="218">
        <f>D92*1000000*F92*Ümberarvutused!$H$17</f>
        <v>0</v>
      </c>
      <c r="J92" s="218">
        <f>D92*G92</f>
        <v>0</v>
      </c>
      <c r="K92" s="218">
        <f>D92*H92</f>
        <v>0</v>
      </c>
      <c r="L92" s="219">
        <f>J92+K92</f>
        <v>0</v>
      </c>
      <c r="M92" s="219">
        <f t="shared" si="10"/>
        <v>0</v>
      </c>
      <c r="N92" s="219">
        <f>IFERROR(IF(_xlfn.XLOOKUP(C92,Eriheited!$D$124:$D$166,Eriheited!$B$124:$B$166)="Fossiilkütused",0,I92),0)</f>
        <v>0</v>
      </c>
      <c r="O92" s="238" t="str">
        <f>IFERROR(_xlfn.XLOOKUP(C92,Eriheited!$D$124:$D$164,Eriheited!$C$124:$C$164)," ")</f>
        <v xml:space="preserve"> </v>
      </c>
      <c r="P92" s="239">
        <f t="shared" si="11"/>
        <v>0</v>
      </c>
      <c r="Q92" s="240" t="str">
        <f>IFERROR(IF(_xlfn.XLOOKUP(C92,Eriheited!$D$124:$D$166,Eriheited!$B$124:$B$166)="Biokütus",2,1)," ")</f>
        <v xml:space="preserve"> </v>
      </c>
    </row>
    <row r="93" spans="2:17" s="202" customFormat="1" x14ac:dyDescent="0.25">
      <c r="B93" s="216" t="s">
        <v>541</v>
      </c>
      <c r="C93" s="217" t="s">
        <v>560</v>
      </c>
      <c r="D93" s="216"/>
      <c r="E93" s="221" t="s">
        <v>4</v>
      </c>
      <c r="F93" s="218">
        <f>IFERROR(_xlfn.XLOOKUP(C93,Eriheited!$D$124:$D$164,Eriheited!$F$124:$F$164),0)</f>
        <v>0</v>
      </c>
      <c r="G93" s="218">
        <f>IFERROR(_xlfn.XLOOKUP(C93,Eriheited!$D$124:$D$164,Eriheited!$N$124:$N$164),0)</f>
        <v>0</v>
      </c>
      <c r="H93" s="218">
        <f>IFERROR(_xlfn.XLOOKUP(C93,Eriheited!$D$124:$D$164,Eriheited!$M$124:$M$164),0)</f>
        <v>0</v>
      </c>
      <c r="I93" s="218">
        <f>D93*1000000*F93*Ümberarvutused!$H$17</f>
        <v>0</v>
      </c>
      <c r="J93" s="218">
        <f>D93*G93</f>
        <v>0</v>
      </c>
      <c r="K93" s="218">
        <f t="shared" ref="K93:K104" si="12">D93*H93</f>
        <v>0</v>
      </c>
      <c r="L93" s="219">
        <f t="shared" ref="L93:L104" si="13">J93+K93</f>
        <v>0</v>
      </c>
      <c r="M93" s="219">
        <f t="shared" si="10"/>
        <v>0</v>
      </c>
      <c r="N93" s="219">
        <f>IFERROR(IF(_xlfn.XLOOKUP(C93,Eriheited!$D$124:$D$166,Eriheited!$B$124:$B$166)="Fossiilkütused",0,I93),0)</f>
        <v>0</v>
      </c>
      <c r="O93" s="238" t="str">
        <f>IFERROR(_xlfn.XLOOKUP(C93,Eriheited!$D$124:$D$164,Eriheited!$C$124:$C$164)," ")</f>
        <v xml:space="preserve"> </v>
      </c>
      <c r="P93" s="239">
        <f t="shared" si="11"/>
        <v>0</v>
      </c>
      <c r="Q93" s="240" t="str">
        <f>IFERROR(IF(_xlfn.XLOOKUP(C93,Eriheited!$D$124:$D$166,Eriheited!$B$124:$B$166)="Biokütus",2,1)," ")</f>
        <v xml:space="preserve"> </v>
      </c>
    </row>
    <row r="94" spans="2:17" s="202" customFormat="1" x14ac:dyDescent="0.25">
      <c r="B94" s="216" t="s">
        <v>541</v>
      </c>
      <c r="C94" s="217" t="s">
        <v>560</v>
      </c>
      <c r="D94" s="216"/>
      <c r="E94" s="221" t="s">
        <v>4</v>
      </c>
      <c r="F94" s="218">
        <f>IFERROR(_xlfn.XLOOKUP(C94,Eriheited!$D$124:$D$164,Eriheited!$F$124:$F$164),0)</f>
        <v>0</v>
      </c>
      <c r="G94" s="218">
        <f>IFERROR(_xlfn.XLOOKUP(C94,Eriheited!$D$124:$D$164,Eriheited!$N$124:$N$164),0)</f>
        <v>0</v>
      </c>
      <c r="H94" s="218">
        <f>IFERROR(_xlfn.XLOOKUP(C94,Eriheited!$D$124:$D$164,Eriheited!$M$124:$M$164),0)</f>
        <v>0</v>
      </c>
      <c r="I94" s="218">
        <f>D94*1000000*F94*Ümberarvutused!$H$17</f>
        <v>0</v>
      </c>
      <c r="J94" s="218">
        <f t="shared" ref="J94:J109" si="14">D94*G94</f>
        <v>0</v>
      </c>
      <c r="K94" s="218">
        <f t="shared" si="12"/>
        <v>0</v>
      </c>
      <c r="L94" s="219">
        <f t="shared" si="13"/>
        <v>0</v>
      </c>
      <c r="M94" s="219">
        <f t="shared" si="10"/>
        <v>0</v>
      </c>
      <c r="N94" s="219">
        <f>IFERROR(IF(_xlfn.XLOOKUP(C94,Eriheited!$D$124:$D$166,Eriheited!$B$124:$B$166)="Fossiilkütused",0,I94),0)</f>
        <v>0</v>
      </c>
      <c r="O94" s="238" t="str">
        <f>IFERROR(_xlfn.XLOOKUP(C94,Eriheited!$D$124:$D$164,Eriheited!$C$124:$C$164)," ")</f>
        <v xml:space="preserve"> </v>
      </c>
      <c r="P94" s="239">
        <f t="shared" si="11"/>
        <v>0</v>
      </c>
      <c r="Q94" s="240" t="str">
        <f>IFERROR(IF(_xlfn.XLOOKUP(C94,Eriheited!$D$124:$D$166,Eriheited!$B$124:$B$166)="Biokütus",2,1)," ")</f>
        <v xml:space="preserve"> </v>
      </c>
    </row>
    <row r="95" spans="2:17" s="202" customFormat="1" x14ac:dyDescent="0.25">
      <c r="B95" s="216" t="s">
        <v>541</v>
      </c>
      <c r="C95" s="217" t="s">
        <v>560</v>
      </c>
      <c r="D95" s="216"/>
      <c r="E95" s="221" t="s">
        <v>4</v>
      </c>
      <c r="F95" s="218">
        <f>IFERROR(_xlfn.XLOOKUP(C95,Eriheited!$D$124:$D$164,Eriheited!$F$124:$F$164),0)</f>
        <v>0</v>
      </c>
      <c r="G95" s="218">
        <f>IFERROR(_xlfn.XLOOKUP(C95,Eriheited!$D$124:$D$164,Eriheited!$N$124:$N$164),0)</f>
        <v>0</v>
      </c>
      <c r="H95" s="218">
        <f>IFERROR(_xlfn.XLOOKUP(C95,Eriheited!$D$124:$D$164,Eriheited!$M$124:$M$164),0)</f>
        <v>0</v>
      </c>
      <c r="I95" s="218">
        <f>D95*1000000*F95*Ümberarvutused!$H$17</f>
        <v>0</v>
      </c>
      <c r="J95" s="218">
        <f t="shared" si="14"/>
        <v>0</v>
      </c>
      <c r="K95" s="218">
        <f t="shared" si="12"/>
        <v>0</v>
      </c>
      <c r="L95" s="219">
        <f t="shared" si="13"/>
        <v>0</v>
      </c>
      <c r="M95" s="219">
        <f t="shared" si="10"/>
        <v>0</v>
      </c>
      <c r="N95" s="219">
        <f>IFERROR(IF(_xlfn.XLOOKUP(C95,Eriheited!$D$124:$D$166,Eriheited!$B$124:$B$166)="Fossiilkütused",0,I95),0)</f>
        <v>0</v>
      </c>
      <c r="O95" s="238" t="str">
        <f>IFERROR(_xlfn.XLOOKUP(C95,Eriheited!$D$124:$D$164,Eriheited!$C$124:$C$164)," ")</f>
        <v xml:space="preserve"> </v>
      </c>
      <c r="P95" s="239">
        <f t="shared" si="11"/>
        <v>0</v>
      </c>
      <c r="Q95" s="240" t="str">
        <f>IFERROR(IF(_xlfn.XLOOKUP(C95,Eriheited!$D$124:$D$166,Eriheited!$B$124:$B$166)="Biokütus",2,1)," ")</f>
        <v xml:space="preserve"> </v>
      </c>
    </row>
    <row r="96" spans="2:17" s="202" customFormat="1" x14ac:dyDescent="0.25">
      <c r="B96" s="216" t="s">
        <v>541</v>
      </c>
      <c r="C96" s="217" t="s">
        <v>560</v>
      </c>
      <c r="D96" s="216"/>
      <c r="E96" s="221" t="s">
        <v>4</v>
      </c>
      <c r="F96" s="218">
        <f>IFERROR(_xlfn.XLOOKUP(C96,Eriheited!$D$124:$D$164,Eriheited!$F$124:$F$164),0)</f>
        <v>0</v>
      </c>
      <c r="G96" s="218">
        <f>IFERROR(_xlfn.XLOOKUP(C96,Eriheited!$D$124:$D$164,Eriheited!$N$124:$N$164),0)</f>
        <v>0</v>
      </c>
      <c r="H96" s="218">
        <f>IFERROR(_xlfn.XLOOKUP(C96,Eriheited!$D$124:$D$164,Eriheited!$M$124:$M$164),0)</f>
        <v>0</v>
      </c>
      <c r="I96" s="218">
        <f>D96*1000000*F96*Ümberarvutused!$H$17</f>
        <v>0</v>
      </c>
      <c r="J96" s="218">
        <f t="shared" si="14"/>
        <v>0</v>
      </c>
      <c r="K96" s="218">
        <f t="shared" si="12"/>
        <v>0</v>
      </c>
      <c r="L96" s="219">
        <f t="shared" si="13"/>
        <v>0</v>
      </c>
      <c r="M96" s="219">
        <f t="shared" si="10"/>
        <v>0</v>
      </c>
      <c r="N96" s="219">
        <f>IFERROR(IF(_xlfn.XLOOKUP(C96,Eriheited!$D$124:$D$166,Eriheited!$B$124:$B$166)="Fossiilkütused",0,I96),0)</f>
        <v>0</v>
      </c>
      <c r="O96" s="238" t="str">
        <f>IFERROR(_xlfn.XLOOKUP(C96,Eriheited!$D$124:$D$164,Eriheited!$C$124:$C$164)," ")</f>
        <v xml:space="preserve"> </v>
      </c>
      <c r="P96" s="239">
        <f t="shared" si="11"/>
        <v>0</v>
      </c>
      <c r="Q96" s="240" t="str">
        <f>IFERROR(IF(_xlfn.XLOOKUP(C96,Eriheited!$D$124:$D$166,Eriheited!$B$124:$B$166)="Biokütus",2,1)," ")</f>
        <v xml:space="preserve"> </v>
      </c>
    </row>
    <row r="97" spans="2:17" s="202" customFormat="1" x14ac:dyDescent="0.25">
      <c r="B97" s="216" t="s">
        <v>541</v>
      </c>
      <c r="C97" s="217" t="s">
        <v>560</v>
      </c>
      <c r="D97" s="216"/>
      <c r="E97" s="221" t="s">
        <v>4</v>
      </c>
      <c r="F97" s="218">
        <f>IFERROR(_xlfn.XLOOKUP(C97,Eriheited!$D$124:$D$164,Eriheited!$F$124:$F$164),0)</f>
        <v>0</v>
      </c>
      <c r="G97" s="218">
        <f>IFERROR(_xlfn.XLOOKUP(C97,Eriheited!$D$124:$D$164,Eriheited!$N$124:$N$164),0)</f>
        <v>0</v>
      </c>
      <c r="H97" s="218">
        <f>IFERROR(_xlfn.XLOOKUP(C97,Eriheited!$D$124:$D$164,Eriheited!$M$124:$M$164),0)</f>
        <v>0</v>
      </c>
      <c r="I97" s="218">
        <f>D97*1000000*F97*Ümberarvutused!$H$17</f>
        <v>0</v>
      </c>
      <c r="J97" s="218">
        <f t="shared" si="14"/>
        <v>0</v>
      </c>
      <c r="K97" s="218">
        <f t="shared" si="12"/>
        <v>0</v>
      </c>
      <c r="L97" s="219">
        <f t="shared" si="13"/>
        <v>0</v>
      </c>
      <c r="M97" s="219">
        <f t="shared" si="10"/>
        <v>0</v>
      </c>
      <c r="N97" s="219">
        <f>IFERROR(IF(_xlfn.XLOOKUP(C97,Eriheited!$D$124:$D$166,Eriheited!$B$124:$B$166)="Fossiilkütused",0,I97),0)</f>
        <v>0</v>
      </c>
      <c r="O97" s="238" t="str">
        <f>IFERROR(_xlfn.XLOOKUP(C97,Eriheited!$D$124:$D$164,Eriheited!$C$124:$C$164)," ")</f>
        <v xml:space="preserve"> </v>
      </c>
      <c r="P97" s="239">
        <f t="shared" si="11"/>
        <v>0</v>
      </c>
      <c r="Q97" s="240" t="str">
        <f>IFERROR(IF(_xlfn.XLOOKUP(C97,Eriheited!$D$124:$D$166,Eriheited!$B$124:$B$166)="Biokütus",2,1)," ")</f>
        <v xml:space="preserve"> </v>
      </c>
    </row>
    <row r="98" spans="2:17" s="202" customFormat="1" x14ac:dyDescent="0.25">
      <c r="B98" s="216" t="s">
        <v>541</v>
      </c>
      <c r="C98" s="217" t="s">
        <v>560</v>
      </c>
      <c r="D98" s="216"/>
      <c r="E98" s="221" t="s">
        <v>4</v>
      </c>
      <c r="F98" s="218">
        <f>IFERROR(_xlfn.XLOOKUP(C98,Eriheited!$D$124:$D$164,Eriheited!$F$124:$F$164),0)</f>
        <v>0</v>
      </c>
      <c r="G98" s="218">
        <f>IFERROR(_xlfn.XLOOKUP(C98,Eriheited!$D$124:$D$164,Eriheited!$N$124:$N$164),0)</f>
        <v>0</v>
      </c>
      <c r="H98" s="218">
        <f>IFERROR(_xlfn.XLOOKUP(C98,Eriheited!$D$124:$D$164,Eriheited!$M$124:$M$164),0)</f>
        <v>0</v>
      </c>
      <c r="I98" s="218">
        <f>D98*1000000*F98*Ümberarvutused!$H$17</f>
        <v>0</v>
      </c>
      <c r="J98" s="218">
        <f t="shared" si="14"/>
        <v>0</v>
      </c>
      <c r="K98" s="218">
        <f t="shared" si="12"/>
        <v>0</v>
      </c>
      <c r="L98" s="219">
        <f t="shared" si="13"/>
        <v>0</v>
      </c>
      <c r="M98" s="219">
        <f t="shared" si="10"/>
        <v>0</v>
      </c>
      <c r="N98" s="219">
        <f>IFERROR(IF(_xlfn.XLOOKUP(C98,Eriheited!$D$124:$D$166,Eriheited!$B$124:$B$166)="Fossiilkütused",0,I98),0)</f>
        <v>0</v>
      </c>
      <c r="O98" s="238" t="str">
        <f>IFERROR(_xlfn.XLOOKUP(C98,Eriheited!$D$124:$D$164,Eriheited!$C$124:$C$164)," ")</f>
        <v xml:space="preserve"> </v>
      </c>
      <c r="P98" s="239">
        <f t="shared" si="11"/>
        <v>0</v>
      </c>
      <c r="Q98" s="240" t="str">
        <f>IFERROR(IF(_xlfn.XLOOKUP(C98,Eriheited!$D$124:$D$166,Eriheited!$B$124:$B$166)="Biokütus",2,1)," ")</f>
        <v xml:space="preserve"> </v>
      </c>
    </row>
    <row r="99" spans="2:17" s="202" customFormat="1" x14ac:dyDescent="0.25">
      <c r="B99" s="216" t="s">
        <v>541</v>
      </c>
      <c r="C99" s="217" t="s">
        <v>560</v>
      </c>
      <c r="D99" s="216"/>
      <c r="E99" s="221" t="s">
        <v>4</v>
      </c>
      <c r="F99" s="218">
        <f>IFERROR(_xlfn.XLOOKUP(C99,Eriheited!$D$124:$D$164,Eriheited!$F$124:$F$164),0)</f>
        <v>0</v>
      </c>
      <c r="G99" s="218">
        <f>IFERROR(_xlfn.XLOOKUP(C99,Eriheited!$D$124:$D$164,Eriheited!$N$124:$N$164),0)</f>
        <v>0</v>
      </c>
      <c r="H99" s="218">
        <f>IFERROR(_xlfn.XLOOKUP(C99,Eriheited!$D$124:$D$164,Eriheited!$M$124:$M$164),0)</f>
        <v>0</v>
      </c>
      <c r="I99" s="218">
        <f>D99*1000000*F99*Ümberarvutused!$H$17</f>
        <v>0</v>
      </c>
      <c r="J99" s="218">
        <f t="shared" si="14"/>
        <v>0</v>
      </c>
      <c r="K99" s="218">
        <f t="shared" si="12"/>
        <v>0</v>
      </c>
      <c r="L99" s="219">
        <f t="shared" si="13"/>
        <v>0</v>
      </c>
      <c r="M99" s="219">
        <f t="shared" si="10"/>
        <v>0</v>
      </c>
      <c r="N99" s="219">
        <f>IFERROR(IF(_xlfn.XLOOKUP(C99,Eriheited!$D$124:$D$166,Eriheited!$B$124:$B$166)="Fossiilkütused",0,I99),0)</f>
        <v>0</v>
      </c>
      <c r="O99" s="238" t="str">
        <f>IFERROR(_xlfn.XLOOKUP(C99,Eriheited!$D$124:$D$164,Eriheited!$C$124:$C$164)," ")</f>
        <v xml:space="preserve"> </v>
      </c>
      <c r="P99" s="239">
        <f t="shared" si="11"/>
        <v>0</v>
      </c>
      <c r="Q99" s="240" t="str">
        <f>IFERROR(IF(_xlfn.XLOOKUP(C99,Eriheited!$D$124:$D$166,Eriheited!$B$124:$B$166)="Biokütus",2,1)," ")</f>
        <v xml:space="preserve"> </v>
      </c>
    </row>
    <row r="100" spans="2:17" s="202" customFormat="1" x14ac:dyDescent="0.25">
      <c r="B100" s="216" t="s">
        <v>541</v>
      </c>
      <c r="C100" s="217" t="s">
        <v>560</v>
      </c>
      <c r="D100" s="216"/>
      <c r="E100" s="221" t="s">
        <v>4</v>
      </c>
      <c r="F100" s="218">
        <f>IFERROR(_xlfn.XLOOKUP(C100,Eriheited!$D$124:$D$164,Eriheited!$F$124:$F$164),0)</f>
        <v>0</v>
      </c>
      <c r="G100" s="218">
        <f>IFERROR(_xlfn.XLOOKUP(C100,Eriheited!$D$124:$D$164,Eriheited!$N$124:$N$164),0)</f>
        <v>0</v>
      </c>
      <c r="H100" s="218">
        <f>IFERROR(_xlfn.XLOOKUP(C100,Eriheited!$D$124:$D$164,Eriheited!$M$124:$M$164),0)</f>
        <v>0</v>
      </c>
      <c r="I100" s="218">
        <f>D100*1000000*F100*Ümberarvutused!$H$17</f>
        <v>0</v>
      </c>
      <c r="J100" s="218">
        <f t="shared" si="14"/>
        <v>0</v>
      </c>
      <c r="K100" s="218">
        <f t="shared" si="12"/>
        <v>0</v>
      </c>
      <c r="L100" s="219">
        <f t="shared" si="13"/>
        <v>0</v>
      </c>
      <c r="M100" s="219">
        <f t="shared" si="10"/>
        <v>0</v>
      </c>
      <c r="N100" s="219">
        <f>IFERROR(IF(_xlfn.XLOOKUP(C100,Eriheited!$D$124:$D$166,Eriheited!$B$124:$B$166)="Fossiilkütused",0,I100),0)</f>
        <v>0</v>
      </c>
      <c r="O100" s="238" t="str">
        <f>IFERROR(_xlfn.XLOOKUP(C100,Eriheited!$D$124:$D$164,Eriheited!$C$124:$C$164)," ")</f>
        <v xml:space="preserve"> </v>
      </c>
      <c r="P100" s="239">
        <f t="shared" si="11"/>
        <v>0</v>
      </c>
      <c r="Q100" s="240" t="str">
        <f>IFERROR(IF(_xlfn.XLOOKUP(C100,Eriheited!$D$124:$D$166,Eriheited!$B$124:$B$166)="Biokütus",2,1)," ")</f>
        <v xml:space="preserve"> </v>
      </c>
    </row>
    <row r="101" spans="2:17" s="202" customFormat="1" x14ac:dyDescent="0.25">
      <c r="B101" s="216" t="s">
        <v>541</v>
      </c>
      <c r="C101" s="217" t="s">
        <v>560</v>
      </c>
      <c r="D101" s="216"/>
      <c r="E101" s="221" t="s">
        <v>4</v>
      </c>
      <c r="F101" s="218">
        <f>IFERROR(_xlfn.XLOOKUP(C101,Eriheited!$D$124:$D$164,Eriheited!$F$124:$F$164),0)</f>
        <v>0</v>
      </c>
      <c r="G101" s="218">
        <f>IFERROR(_xlfn.XLOOKUP(C101,Eriheited!$D$124:$D$164,Eriheited!$N$124:$N$164),0)</f>
        <v>0</v>
      </c>
      <c r="H101" s="218">
        <f>IFERROR(_xlfn.XLOOKUP(C101,Eriheited!$D$124:$D$164,Eriheited!$M$124:$M$164),0)</f>
        <v>0</v>
      </c>
      <c r="I101" s="218">
        <f>D101*1000000*F101*Ümberarvutused!$H$17</f>
        <v>0</v>
      </c>
      <c r="J101" s="218">
        <f t="shared" si="14"/>
        <v>0</v>
      </c>
      <c r="K101" s="218">
        <f t="shared" si="12"/>
        <v>0</v>
      </c>
      <c r="L101" s="219">
        <f t="shared" si="13"/>
        <v>0</v>
      </c>
      <c r="M101" s="219">
        <f t="shared" si="10"/>
        <v>0</v>
      </c>
      <c r="N101" s="219">
        <f>IFERROR(IF(_xlfn.XLOOKUP(C101,Eriheited!$D$124:$D$166,Eriheited!$B$124:$B$166)="Fossiilkütused",0,I101),0)</f>
        <v>0</v>
      </c>
      <c r="O101" s="238" t="str">
        <f>IFERROR(_xlfn.XLOOKUP(C101,Eriheited!$D$124:$D$164,Eriheited!$C$124:$C$164)," ")</f>
        <v xml:space="preserve"> </v>
      </c>
      <c r="P101" s="239">
        <f t="shared" si="11"/>
        <v>0</v>
      </c>
      <c r="Q101" s="240" t="str">
        <f>IFERROR(IF(_xlfn.XLOOKUP(C101,Eriheited!$D$124:$D$166,Eriheited!$B$124:$B$166)="Biokütus",2,1)," ")</f>
        <v xml:space="preserve"> </v>
      </c>
    </row>
    <row r="102" spans="2:17" s="202" customFormat="1" x14ac:dyDescent="0.25">
      <c r="B102" s="216" t="s">
        <v>541</v>
      </c>
      <c r="C102" s="217" t="s">
        <v>560</v>
      </c>
      <c r="D102" s="216"/>
      <c r="E102" s="221" t="s">
        <v>4</v>
      </c>
      <c r="F102" s="218">
        <f>IFERROR(_xlfn.XLOOKUP(C102,Eriheited!$D$124:$D$164,Eriheited!$F$124:$F$164),0)</f>
        <v>0</v>
      </c>
      <c r="G102" s="218">
        <f>IFERROR(_xlfn.XLOOKUP(C102,Eriheited!$D$124:$D$164,Eriheited!$N$124:$N$164),0)</f>
        <v>0</v>
      </c>
      <c r="H102" s="218">
        <f>IFERROR(_xlfn.XLOOKUP(C102,Eriheited!$D$124:$D$164,Eriheited!$M$124:$M$164),0)</f>
        <v>0</v>
      </c>
      <c r="I102" s="218">
        <f>D102*1000000*F102*Ümberarvutused!$H$17</f>
        <v>0</v>
      </c>
      <c r="J102" s="218">
        <f t="shared" si="14"/>
        <v>0</v>
      </c>
      <c r="K102" s="218">
        <f t="shared" si="12"/>
        <v>0</v>
      </c>
      <c r="L102" s="219">
        <f t="shared" si="13"/>
        <v>0</v>
      </c>
      <c r="M102" s="219">
        <f t="shared" si="10"/>
        <v>0</v>
      </c>
      <c r="N102" s="219">
        <f>IFERROR(IF(_xlfn.XLOOKUP(C102,Eriheited!$D$124:$D$166,Eriheited!$B$124:$B$166)="Fossiilkütused",0,I102),0)</f>
        <v>0</v>
      </c>
      <c r="O102" s="238" t="str">
        <f>IFERROR(_xlfn.XLOOKUP(C102,Eriheited!$D$124:$D$164,Eriheited!$C$124:$C$164)," ")</f>
        <v xml:space="preserve"> </v>
      </c>
      <c r="P102" s="239">
        <f t="shared" si="11"/>
        <v>0</v>
      </c>
      <c r="Q102" s="240" t="str">
        <f>IFERROR(IF(_xlfn.XLOOKUP(C102,Eriheited!$D$124:$D$166,Eriheited!$B$124:$B$166)="Biokütus",2,1)," ")</f>
        <v xml:space="preserve"> </v>
      </c>
    </row>
    <row r="103" spans="2:17" s="202" customFormat="1" x14ac:dyDescent="0.25">
      <c r="B103" s="216" t="s">
        <v>541</v>
      </c>
      <c r="C103" s="217" t="s">
        <v>560</v>
      </c>
      <c r="D103" s="216"/>
      <c r="E103" s="221" t="s">
        <v>4</v>
      </c>
      <c r="F103" s="218">
        <f>IFERROR(_xlfn.XLOOKUP(C103,Eriheited!$D$124:$D$164,Eriheited!$F$124:$F$164),0)</f>
        <v>0</v>
      </c>
      <c r="G103" s="218">
        <f>IFERROR(_xlfn.XLOOKUP(C103,Eriheited!$D$124:$D$164,Eriheited!$N$124:$N$164),0)</f>
        <v>0</v>
      </c>
      <c r="H103" s="218">
        <f>IFERROR(_xlfn.XLOOKUP(C103,Eriheited!$D$124:$D$164,Eriheited!$M$124:$M$164),0)</f>
        <v>0</v>
      </c>
      <c r="I103" s="218">
        <f>D103*1000000*F103*Ümberarvutused!$H$17</f>
        <v>0</v>
      </c>
      <c r="J103" s="218">
        <f t="shared" si="14"/>
        <v>0</v>
      </c>
      <c r="K103" s="218">
        <f t="shared" si="12"/>
        <v>0</v>
      </c>
      <c r="L103" s="219">
        <f t="shared" si="13"/>
        <v>0</v>
      </c>
      <c r="M103" s="219">
        <f t="shared" si="10"/>
        <v>0</v>
      </c>
      <c r="N103" s="219">
        <f>IFERROR(IF(_xlfn.XLOOKUP(C103,Eriheited!$D$124:$D$166,Eriheited!$B$124:$B$166)="Fossiilkütused",0,I103),0)</f>
        <v>0</v>
      </c>
      <c r="O103" s="238" t="str">
        <f>IFERROR(_xlfn.XLOOKUP(C103,Eriheited!$D$124:$D$164,Eriheited!$C$124:$C$164)," ")</f>
        <v xml:space="preserve"> </v>
      </c>
      <c r="P103" s="239">
        <f t="shared" si="11"/>
        <v>0</v>
      </c>
      <c r="Q103" s="240" t="str">
        <f>IFERROR(IF(_xlfn.XLOOKUP(C103,Eriheited!$D$124:$D$166,Eriheited!$B$124:$B$166)="Biokütus",2,1)," ")</f>
        <v xml:space="preserve"> </v>
      </c>
    </row>
    <row r="104" spans="2:17" s="202" customFormat="1" x14ac:dyDescent="0.25">
      <c r="B104" s="216" t="s">
        <v>541</v>
      </c>
      <c r="C104" s="217" t="s">
        <v>560</v>
      </c>
      <c r="D104" s="216"/>
      <c r="E104" s="221" t="s">
        <v>4</v>
      </c>
      <c r="F104" s="218">
        <f>IFERROR(_xlfn.XLOOKUP(C104,Eriheited!$D$124:$D$164,Eriheited!$F$124:$F$164),0)</f>
        <v>0</v>
      </c>
      <c r="G104" s="218">
        <f>IFERROR(_xlfn.XLOOKUP(C104,Eriheited!$D$124:$D$164,Eriheited!$N$124:$N$164),0)</f>
        <v>0</v>
      </c>
      <c r="H104" s="218">
        <f>IFERROR(_xlfn.XLOOKUP(C104,Eriheited!$D$124:$D$164,Eriheited!$M$124:$M$164),0)</f>
        <v>0</v>
      </c>
      <c r="I104" s="218">
        <f>D104*1000000*F104*Ümberarvutused!$H$17</f>
        <v>0</v>
      </c>
      <c r="J104" s="218">
        <f t="shared" si="14"/>
        <v>0</v>
      </c>
      <c r="K104" s="218">
        <f t="shared" si="12"/>
        <v>0</v>
      </c>
      <c r="L104" s="219">
        <f t="shared" si="13"/>
        <v>0</v>
      </c>
      <c r="M104" s="219">
        <f t="shared" si="10"/>
        <v>0</v>
      </c>
      <c r="N104" s="219">
        <f>IFERROR(IF(_xlfn.XLOOKUP(C104,Eriheited!$D$124:$D$166,Eriheited!$B$124:$B$166)="Fossiilkütused",0,I104),0)</f>
        <v>0</v>
      </c>
      <c r="O104" s="238" t="str">
        <f>IFERROR(_xlfn.XLOOKUP(C104,Eriheited!$D$124:$D$164,Eriheited!$C$124:$C$164)," ")</f>
        <v xml:space="preserve"> </v>
      </c>
      <c r="P104" s="239">
        <f t="shared" si="11"/>
        <v>0</v>
      </c>
      <c r="Q104" s="240" t="str">
        <f>IFERROR(IF(_xlfn.XLOOKUP(C104,Eriheited!$D$124:$D$166,Eriheited!$B$124:$B$166)="Biokütus",2,1)," ")</f>
        <v xml:space="preserve"> </v>
      </c>
    </row>
    <row r="105" spans="2:17" s="202" customFormat="1" x14ac:dyDescent="0.25">
      <c r="B105" s="216" t="s">
        <v>541</v>
      </c>
      <c r="C105" s="217" t="s">
        <v>560</v>
      </c>
      <c r="D105" s="216"/>
      <c r="E105" s="221" t="s">
        <v>4</v>
      </c>
      <c r="F105" s="218">
        <f>IFERROR(_xlfn.XLOOKUP(C105,Eriheited!$D$124:$D$164,Eriheited!$F$124:$F$164),0)</f>
        <v>0</v>
      </c>
      <c r="G105" s="218">
        <f>IFERROR(_xlfn.XLOOKUP(C105,Eriheited!$D$124:$D$164,Eriheited!$N$124:$N$164),0)</f>
        <v>0</v>
      </c>
      <c r="H105" s="218">
        <f>IFERROR(_xlfn.XLOOKUP(C105,Eriheited!$D$124:$D$164,Eriheited!$M$124:$M$164),0)</f>
        <v>0</v>
      </c>
      <c r="I105" s="218">
        <f>D105*1000000*F105*Ümberarvutused!$H$17</f>
        <v>0</v>
      </c>
      <c r="J105" s="218">
        <f t="shared" si="14"/>
        <v>0</v>
      </c>
      <c r="K105" s="218">
        <f>D105*H105</f>
        <v>0</v>
      </c>
      <c r="L105" s="219">
        <f>J105+K105</f>
        <v>0</v>
      </c>
      <c r="M105" s="219">
        <f t="shared" si="10"/>
        <v>0</v>
      </c>
      <c r="N105" s="219">
        <f>IFERROR(IF(_xlfn.XLOOKUP(C105,Eriheited!$D$124:$D$166,Eriheited!$B$124:$B$166)="Fossiilkütused",0,I105),0)</f>
        <v>0</v>
      </c>
      <c r="O105" s="238" t="str">
        <f>IFERROR(_xlfn.XLOOKUP(C105,Eriheited!$D$124:$D$164,Eriheited!$C$124:$C$164)," ")</f>
        <v xml:space="preserve"> </v>
      </c>
      <c r="P105" s="239">
        <f t="shared" si="11"/>
        <v>0</v>
      </c>
      <c r="Q105" s="240" t="str">
        <f>IFERROR(IF(_xlfn.XLOOKUP(C105,Eriheited!$D$124:$D$166,Eriheited!$B$124:$B$166)="Biokütus",2,1)," ")</f>
        <v xml:space="preserve"> </v>
      </c>
    </row>
    <row r="106" spans="2:17" s="202" customFormat="1" x14ac:dyDescent="0.25">
      <c r="B106" s="216" t="s">
        <v>541</v>
      </c>
      <c r="C106" s="217" t="s">
        <v>560</v>
      </c>
      <c r="D106" s="216"/>
      <c r="E106" s="221" t="s">
        <v>4</v>
      </c>
      <c r="F106" s="218">
        <f>IFERROR(_xlfn.XLOOKUP(C106,Eriheited!$D$124:$D$164,Eriheited!$F$124:$F$164),0)</f>
        <v>0</v>
      </c>
      <c r="G106" s="218">
        <f>IFERROR(_xlfn.XLOOKUP(C106,Eriheited!$D$124:$D$164,Eriheited!$N$124:$N$164),0)</f>
        <v>0</v>
      </c>
      <c r="H106" s="218">
        <f>IFERROR(_xlfn.XLOOKUP(C106,Eriheited!$D$124:$D$164,Eriheited!$M$124:$M$164),0)</f>
        <v>0</v>
      </c>
      <c r="I106" s="218">
        <f>D106*1000000*F106*Ümberarvutused!$H$17</f>
        <v>0</v>
      </c>
      <c r="J106" s="218">
        <f t="shared" si="14"/>
        <v>0</v>
      </c>
      <c r="K106" s="218">
        <f t="shared" ref="K106:K109" si="15">D106*H106</f>
        <v>0</v>
      </c>
      <c r="L106" s="219">
        <f t="shared" ref="L106:L109" si="16">J106+K106</f>
        <v>0</v>
      </c>
      <c r="M106" s="219">
        <f t="shared" si="10"/>
        <v>0</v>
      </c>
      <c r="N106" s="219">
        <f>IFERROR(IF(_xlfn.XLOOKUP(C106,Eriheited!$D$124:$D$166,Eriheited!$B$124:$B$166)="Fossiilkütused",0,I106),0)</f>
        <v>0</v>
      </c>
      <c r="O106" s="238" t="str">
        <f>IFERROR(_xlfn.XLOOKUP(C106,Eriheited!$D$124:$D$164,Eriheited!$C$124:$C$164)," ")</f>
        <v xml:space="preserve"> </v>
      </c>
      <c r="P106" s="239">
        <f t="shared" si="11"/>
        <v>0</v>
      </c>
      <c r="Q106" s="240" t="str">
        <f>IFERROR(IF(_xlfn.XLOOKUP(C106,Eriheited!$D$124:$D$166,Eriheited!$B$124:$B$166)="Biokütus",2,1)," ")</f>
        <v xml:space="preserve"> </v>
      </c>
    </row>
    <row r="107" spans="2:17" s="202" customFormat="1" x14ac:dyDescent="0.25">
      <c r="B107" s="216" t="s">
        <v>541</v>
      </c>
      <c r="C107" s="217" t="s">
        <v>560</v>
      </c>
      <c r="D107" s="216"/>
      <c r="E107" s="221" t="s">
        <v>4</v>
      </c>
      <c r="F107" s="218">
        <f>IFERROR(_xlfn.XLOOKUP(C107,Eriheited!$D$124:$D$164,Eriheited!$F$124:$F$164),0)</f>
        <v>0</v>
      </c>
      <c r="G107" s="218">
        <f>IFERROR(_xlfn.XLOOKUP(C107,Eriheited!$D$124:$D$164,Eriheited!$N$124:$N$164),0)</f>
        <v>0</v>
      </c>
      <c r="H107" s="218">
        <f>IFERROR(_xlfn.XLOOKUP(C107,Eriheited!$D$124:$D$164,Eriheited!$M$124:$M$164),0)</f>
        <v>0</v>
      </c>
      <c r="I107" s="218">
        <f>D107*1000000*F107*Ümberarvutused!$H$17</f>
        <v>0</v>
      </c>
      <c r="J107" s="218">
        <f t="shared" si="14"/>
        <v>0</v>
      </c>
      <c r="K107" s="218">
        <f t="shared" si="15"/>
        <v>0</v>
      </c>
      <c r="L107" s="219">
        <f t="shared" si="16"/>
        <v>0</v>
      </c>
      <c r="M107" s="219">
        <f t="shared" si="10"/>
        <v>0</v>
      </c>
      <c r="N107" s="219">
        <f>IFERROR(IF(_xlfn.XLOOKUP(C107,Eriheited!$D$124:$D$166,Eriheited!$B$124:$B$166)="Fossiilkütused",0,I107),0)</f>
        <v>0</v>
      </c>
      <c r="O107" s="238" t="str">
        <f>IFERROR(_xlfn.XLOOKUP(C107,Eriheited!$D$124:$D$164,Eriheited!$C$124:$C$164)," ")</f>
        <v xml:space="preserve"> </v>
      </c>
      <c r="P107" s="239">
        <f t="shared" si="11"/>
        <v>0</v>
      </c>
      <c r="Q107" s="240" t="str">
        <f>IFERROR(IF(_xlfn.XLOOKUP(C107,Eriheited!$D$124:$D$166,Eriheited!$B$124:$B$166)="Biokütus",2,1)," ")</f>
        <v xml:space="preserve"> </v>
      </c>
    </row>
    <row r="108" spans="2:17" s="202" customFormat="1" x14ac:dyDescent="0.25">
      <c r="B108" s="216" t="s">
        <v>541</v>
      </c>
      <c r="C108" s="217" t="s">
        <v>560</v>
      </c>
      <c r="D108" s="216"/>
      <c r="E108" s="221" t="s">
        <v>4</v>
      </c>
      <c r="F108" s="218">
        <f>IFERROR(_xlfn.XLOOKUP(C108,Eriheited!$D$124:$D$164,Eriheited!$F$124:$F$164),0)</f>
        <v>0</v>
      </c>
      <c r="G108" s="218">
        <f>IFERROR(_xlfn.XLOOKUP(C108,Eriheited!$D$124:$D$164,Eriheited!$N$124:$N$164),0)</f>
        <v>0</v>
      </c>
      <c r="H108" s="218">
        <f>IFERROR(_xlfn.XLOOKUP(C108,Eriheited!$D$124:$D$164,Eriheited!$M$124:$M$164),0)</f>
        <v>0</v>
      </c>
      <c r="I108" s="218">
        <f>D108*1000000*F108*Ümberarvutused!$H$17</f>
        <v>0</v>
      </c>
      <c r="J108" s="218">
        <f t="shared" si="14"/>
        <v>0</v>
      </c>
      <c r="K108" s="218">
        <f t="shared" si="15"/>
        <v>0</v>
      </c>
      <c r="L108" s="219">
        <f t="shared" si="16"/>
        <v>0</v>
      </c>
      <c r="M108" s="219">
        <f t="shared" si="10"/>
        <v>0</v>
      </c>
      <c r="N108" s="219">
        <f>IFERROR(IF(_xlfn.XLOOKUP(C108,Eriheited!$D$124:$D$166,Eriheited!$B$124:$B$166)="Fossiilkütused",0,I108),0)</f>
        <v>0</v>
      </c>
      <c r="O108" s="238" t="str">
        <f>IFERROR(_xlfn.XLOOKUP(C108,Eriheited!$D$124:$D$164,Eriheited!$C$124:$C$164)," ")</f>
        <v xml:space="preserve"> </v>
      </c>
      <c r="P108" s="239">
        <f t="shared" si="11"/>
        <v>0</v>
      </c>
      <c r="Q108" s="240" t="str">
        <f>IFERROR(IF(_xlfn.XLOOKUP(C108,Eriheited!$D$124:$D$166,Eriheited!$B$124:$B$166)="Biokütus",2,1)," ")</f>
        <v xml:space="preserve"> </v>
      </c>
    </row>
    <row r="109" spans="2:17" s="202" customFormat="1" x14ac:dyDescent="0.25">
      <c r="B109" s="216" t="s">
        <v>541</v>
      </c>
      <c r="C109" s="217" t="s">
        <v>560</v>
      </c>
      <c r="D109" s="216"/>
      <c r="E109" s="221" t="s">
        <v>4</v>
      </c>
      <c r="F109" s="218">
        <f>IFERROR(_xlfn.XLOOKUP(C109,Eriheited!$D$124:$D$164,Eriheited!$F$124:$F$164),0)</f>
        <v>0</v>
      </c>
      <c r="G109" s="218">
        <f>IFERROR(_xlfn.XLOOKUP(C109,Eriheited!$D$124:$D$164,Eriheited!$N$124:$N$164),0)</f>
        <v>0</v>
      </c>
      <c r="H109" s="218">
        <f>IFERROR(_xlfn.XLOOKUP(C109,Eriheited!$D$124:$D$164,Eriheited!$M$124:$M$164),0)</f>
        <v>0</v>
      </c>
      <c r="I109" s="218">
        <f>D109*1000000*F109*Ümberarvutused!$H$17</f>
        <v>0</v>
      </c>
      <c r="J109" s="218">
        <f t="shared" si="14"/>
        <v>0</v>
      </c>
      <c r="K109" s="218">
        <f t="shared" si="15"/>
        <v>0</v>
      </c>
      <c r="L109" s="219">
        <f t="shared" si="16"/>
        <v>0</v>
      </c>
      <c r="M109" s="219">
        <f t="shared" si="10"/>
        <v>0</v>
      </c>
      <c r="N109" s="219">
        <f>IFERROR(IF(_xlfn.XLOOKUP(C109,Eriheited!$D$124:$D$166,Eriheited!$B$124:$B$166)="Fossiilkütused",0,I109),0)</f>
        <v>0</v>
      </c>
      <c r="O109" s="238" t="str">
        <f>IFERROR(_xlfn.XLOOKUP(C109,Eriheited!$D$124:$D$164,Eriheited!$C$124:$C$164)," ")</f>
        <v xml:space="preserve"> </v>
      </c>
      <c r="P109" s="239">
        <f t="shared" si="11"/>
        <v>0</v>
      </c>
      <c r="Q109" s="240" t="str">
        <f>IFERROR(IF(_xlfn.XLOOKUP(C109,Eriheited!$D$124:$D$166,Eriheited!$B$124:$B$166)="Biokütus",2,1)," ")</f>
        <v xml:space="preserve"> </v>
      </c>
    </row>
    <row r="110" spans="2:17" s="202" customFormat="1" x14ac:dyDescent="0.25">
      <c r="B110" s="308" t="s">
        <v>259</v>
      </c>
      <c r="C110" s="309"/>
      <c r="D110" s="309"/>
      <c r="E110" s="309"/>
      <c r="F110" s="309"/>
      <c r="G110" s="309"/>
      <c r="H110" s="310"/>
      <c r="I110" s="220">
        <f>SUM(I90:I109)</f>
        <v>0</v>
      </c>
      <c r="J110" s="220">
        <f t="shared" ref="J110:K110" si="17">SUM(J90:J109)</f>
        <v>0</v>
      </c>
      <c r="K110" s="220">
        <f t="shared" si="17"/>
        <v>0</v>
      </c>
      <c r="L110" s="220">
        <f>SUM(L90:L109)</f>
        <v>0</v>
      </c>
      <c r="M110" s="220">
        <f>SUM(M90:M109)</f>
        <v>0</v>
      </c>
      <c r="N110" s="220">
        <f>SUM(N90:N109)</f>
        <v>0</v>
      </c>
      <c r="O110" s="241"/>
      <c r="P110" s="241">
        <f>SUM(P90:P109)</f>
        <v>0</v>
      </c>
      <c r="Q110" s="241"/>
    </row>
    <row r="111" spans="2:17" s="202" customFormat="1" x14ac:dyDescent="0.25"/>
    <row r="112" spans="2:17" s="202" customFormat="1" x14ac:dyDescent="0.25">
      <c r="B112" s="203" t="s">
        <v>583</v>
      </c>
    </row>
    <row r="113" spans="2:11" s="202" customFormat="1" ht="18" x14ac:dyDescent="0.35">
      <c r="B113" s="207" t="s">
        <v>574</v>
      </c>
      <c r="C113" s="229">
        <f>L110</f>
        <v>0</v>
      </c>
      <c r="D113" s="224" t="s">
        <v>510</v>
      </c>
    </row>
    <row r="114" spans="2:11" s="202" customFormat="1" ht="60" x14ac:dyDescent="0.25">
      <c r="B114" s="225" t="s">
        <v>562</v>
      </c>
      <c r="C114" s="230"/>
      <c r="D114" s="226"/>
    </row>
    <row r="115" spans="2:11" s="202" customFormat="1" x14ac:dyDescent="0.25">
      <c r="B115" s="227" t="s">
        <v>563</v>
      </c>
      <c r="C115" s="229" t="e">
        <f>((1*C113)/I110)/Ümberarvutused!$I$13*1000000</f>
        <v>#DIV/0!</v>
      </c>
      <c r="D115" s="222" t="s">
        <v>564</v>
      </c>
    </row>
    <row r="116" spans="2:11" s="202" customFormat="1" ht="45" x14ac:dyDescent="0.25">
      <c r="B116" s="228" t="s">
        <v>565</v>
      </c>
      <c r="C116" s="292">
        <f>$B$155</f>
        <v>89.336799999999997</v>
      </c>
      <c r="D116" s="222" t="s">
        <v>564</v>
      </c>
      <c r="E116"/>
      <c r="F116" s="294"/>
      <c r="G116"/>
    </row>
    <row r="117" spans="2:11" s="202" customFormat="1" x14ac:dyDescent="0.25"/>
    <row r="118" spans="2:11" s="202" customFormat="1" x14ac:dyDescent="0.25"/>
    <row r="119" spans="2:11" s="202" customFormat="1" x14ac:dyDescent="0.25">
      <c r="B119" s="203" t="s">
        <v>633</v>
      </c>
    </row>
    <row r="120" spans="2:11" s="202" customFormat="1" ht="48" customHeight="1" x14ac:dyDescent="0.25">
      <c r="B120" s="247" t="s">
        <v>653</v>
      </c>
      <c r="C120" s="246"/>
      <c r="D120" s="328" t="s">
        <v>651</v>
      </c>
      <c r="E120" s="329"/>
      <c r="F120" s="329"/>
      <c r="G120" s="282"/>
    </row>
    <row r="121" spans="2:11" s="202" customFormat="1" ht="51" customHeight="1" x14ac:dyDescent="0.25">
      <c r="B121" s="247" t="s">
        <v>654</v>
      </c>
      <c r="C121" s="246"/>
      <c r="D121" s="330"/>
      <c r="E121" s="329"/>
      <c r="F121" s="329"/>
      <c r="G121" s="267" t="s">
        <v>585</v>
      </c>
      <c r="H121" s="268" t="s">
        <v>124</v>
      </c>
      <c r="I121" s="265"/>
      <c r="J121" s="265"/>
      <c r="K121" s="265"/>
    </row>
    <row r="122" spans="2:11" s="202" customFormat="1" ht="45.75" customHeight="1" x14ac:dyDescent="0.25">
      <c r="B122" s="247" t="s">
        <v>655</v>
      </c>
      <c r="C122" s="246"/>
      <c r="D122" s="330"/>
      <c r="E122" s="329"/>
      <c r="F122" s="329"/>
      <c r="G122" s="267" t="s">
        <v>586</v>
      </c>
      <c r="H122" s="268" t="s">
        <v>2</v>
      </c>
      <c r="K122" s="266"/>
    </row>
    <row r="123" spans="2:11" s="202" customFormat="1" ht="30" x14ac:dyDescent="0.25">
      <c r="B123" s="214" t="s">
        <v>533</v>
      </c>
      <c r="C123" s="192" t="str">
        <f>IF(SUM(O132:O135)=0,"Ei","Jah")</f>
        <v>Ei</v>
      </c>
      <c r="D123" s="269" t="s">
        <v>587</v>
      </c>
      <c r="I123" s="268" t="s">
        <v>588</v>
      </c>
      <c r="K123" s="270"/>
    </row>
    <row r="124" spans="2:11" s="202" customFormat="1" ht="30" x14ac:dyDescent="0.25">
      <c r="B124" s="214" t="s">
        <v>530</v>
      </c>
      <c r="C124" s="192" t="str">
        <f>IF(O136=0,"Ei","Jah")</f>
        <v>Ei</v>
      </c>
      <c r="D124" s="269" t="s">
        <v>587</v>
      </c>
      <c r="I124" s="268" t="s">
        <v>588</v>
      </c>
      <c r="K124" s="270"/>
    </row>
    <row r="125" spans="2:11" s="202" customFormat="1" x14ac:dyDescent="0.25">
      <c r="B125" s="215"/>
      <c r="C125" s="281"/>
      <c r="D125" s="269"/>
      <c r="I125" s="268"/>
      <c r="K125" s="270"/>
    </row>
    <row r="126" spans="2:11" s="202" customFormat="1" x14ac:dyDescent="0.25">
      <c r="B126" s="215"/>
      <c r="C126" s="281"/>
      <c r="D126" s="269"/>
      <c r="I126" s="268"/>
      <c r="K126" s="270"/>
    </row>
    <row r="127" spans="2:11" s="202" customFormat="1" x14ac:dyDescent="0.25">
      <c r="B127" s="215"/>
      <c r="C127" s="281"/>
      <c r="D127" s="269"/>
      <c r="I127" s="268"/>
      <c r="K127" s="270"/>
    </row>
    <row r="128" spans="2:11" s="202" customFormat="1" x14ac:dyDescent="0.25"/>
    <row r="129" spans="2:16" s="202" customFormat="1" x14ac:dyDescent="0.25"/>
    <row r="130" spans="2:16" s="202" customFormat="1" x14ac:dyDescent="0.25"/>
    <row r="131" spans="2:16" s="202" customFormat="1" ht="30" x14ac:dyDescent="0.25">
      <c r="B131" s="280" t="s">
        <v>621</v>
      </c>
      <c r="C131" s="325" t="s">
        <v>589</v>
      </c>
      <c r="D131" s="325"/>
      <c r="E131" s="325"/>
      <c r="F131" s="325"/>
      <c r="G131" s="278" t="s">
        <v>590</v>
      </c>
      <c r="H131" s="279"/>
      <c r="I131" s="325" t="s">
        <v>591</v>
      </c>
      <c r="J131" s="325"/>
      <c r="K131" s="325"/>
      <c r="L131" s="325"/>
      <c r="M131" s="278" t="s">
        <v>592</v>
      </c>
      <c r="N131" s="275" t="s">
        <v>593</v>
      </c>
      <c r="O131" s="276" t="s">
        <v>594</v>
      </c>
    </row>
    <row r="132" spans="2:16" s="202" customFormat="1" ht="60" x14ac:dyDescent="0.25">
      <c r="B132" s="260" t="s">
        <v>595</v>
      </c>
      <c r="C132" s="250" t="s">
        <v>596</v>
      </c>
      <c r="D132" s="251"/>
      <c r="E132" s="252"/>
      <c r="F132" s="251"/>
      <c r="G132" s="253" t="str">
        <f>IF(C20="hübriidmootor","Jah",(IF(C20="kaherežiimiline mootor","Jah","Ei")))</f>
        <v>Jah</v>
      </c>
      <c r="H132" s="251" t="s">
        <v>0</v>
      </c>
      <c r="I132" s="250" t="s">
        <v>597</v>
      </c>
      <c r="J132" s="254"/>
      <c r="K132" s="251"/>
      <c r="L132" s="251"/>
      <c r="M132" s="255" t="str">
        <f>IF(P110&lt;25,"Ei","Jah")</f>
        <v>Ei</v>
      </c>
      <c r="N132" s="248" t="str">
        <f>IF(G132="Ei","Ei",(IF(M132="Ei","Ei","Jah")))</f>
        <v>Ei</v>
      </c>
      <c r="O132" s="248">
        <f>IF(N132="Ei",0,1)</f>
        <v>0</v>
      </c>
    </row>
    <row r="133" spans="2:16" s="202" customFormat="1" ht="60" x14ac:dyDescent="0.25">
      <c r="B133" s="249" t="s">
        <v>598</v>
      </c>
      <c r="C133" s="256" t="s">
        <v>596</v>
      </c>
      <c r="D133" s="257"/>
      <c r="E133" s="258"/>
      <c r="F133" s="257"/>
      <c r="G133" s="253" t="str">
        <f>IF(C20="hübriidmootor","Jah",(IF(C20="kaherežiimiline mootor","Jah","Ei")))</f>
        <v>Jah</v>
      </c>
      <c r="H133" s="257" t="s">
        <v>0</v>
      </c>
      <c r="I133" s="256" t="s">
        <v>599</v>
      </c>
      <c r="J133" s="258"/>
      <c r="K133" s="257"/>
      <c r="L133" s="257"/>
      <c r="M133" s="255" t="str">
        <f>IFERROR(IF((M90+M91)/(M90+M91)&lt;0.5,"Ei","Jah"),"Ei")</f>
        <v>Ei</v>
      </c>
      <c r="N133" s="248" t="str">
        <f>IF(G133="Ei","Ei",(IF(M133="Ei","Ei","Jah")))</f>
        <v>Ei</v>
      </c>
      <c r="O133" s="248">
        <f>IF(N133="Ei",0,1)</f>
        <v>0</v>
      </c>
    </row>
    <row r="134" spans="2:16" s="202" customFormat="1" ht="120" x14ac:dyDescent="0.25">
      <c r="B134" s="259" t="s">
        <v>600</v>
      </c>
      <c r="C134" s="326" t="s">
        <v>632</v>
      </c>
      <c r="D134" s="326"/>
      <c r="E134" s="326"/>
      <c r="F134" s="326"/>
      <c r="G134" s="253" t="str">
        <f>IF(C20=B188,"Jah","Ei")</f>
        <v>Ei</v>
      </c>
      <c r="H134" s="251" t="s">
        <v>0</v>
      </c>
      <c r="I134" s="326" t="s">
        <v>601</v>
      </c>
      <c r="J134" s="326"/>
      <c r="K134" s="326"/>
      <c r="L134" s="326"/>
      <c r="M134" s="277" t="str">
        <f>IF(C120&gt;P134,"Ei","Jah")</f>
        <v>Jah</v>
      </c>
      <c r="N134" s="248" t="str">
        <f>IF(G134="Ei","Ei",(IF(M134="Ei","Ei","Jah")))</f>
        <v>Ei</v>
      </c>
      <c r="O134" s="248">
        <f t="shared" ref="O134" si="18">IF(N134="Ei",0,1)</f>
        <v>0</v>
      </c>
      <c r="P134" s="267">
        <f>26.15/1000000</f>
        <v>2.6149999999999999E-5</v>
      </c>
    </row>
    <row r="135" spans="2:16" s="202" customFormat="1" ht="105" x14ac:dyDescent="0.25">
      <c r="B135" s="261" t="s">
        <v>513</v>
      </c>
      <c r="C135" s="327" t="s">
        <v>602</v>
      </c>
      <c r="D135" s="327"/>
      <c r="E135" s="327"/>
      <c r="F135" s="327"/>
      <c r="G135" s="253" t="str">
        <f>IF(C122=0,"Ei",(IF(C122&lt;=C121,"Jah","Ei")))</f>
        <v>Ei</v>
      </c>
      <c r="H135" s="257" t="s">
        <v>0</v>
      </c>
      <c r="I135" s="327" t="s">
        <v>603</v>
      </c>
      <c r="J135" s="327"/>
      <c r="K135" s="327"/>
      <c r="L135" s="327"/>
      <c r="M135" s="255" t="str">
        <f>IFERROR(IF(P110&gt;0,"Jah",(IF((N110/I110)&gt;0,"Jah","Ei"))),"Ei")</f>
        <v>Ei</v>
      </c>
      <c r="N135" s="248" t="str">
        <f>IF(G135="Ei","Ei",(IF(M135="Ei","Ei","Jah")))</f>
        <v>Ei</v>
      </c>
      <c r="O135" s="248">
        <f>IF(N135="Ei",0,1)</f>
        <v>0</v>
      </c>
    </row>
    <row r="136" spans="2:16" s="202" customFormat="1" ht="45" x14ac:dyDescent="0.25">
      <c r="B136" s="259" t="s">
        <v>604</v>
      </c>
      <c r="C136" s="262" t="s">
        <v>605</v>
      </c>
      <c r="D136" s="263"/>
      <c r="E136" s="263"/>
      <c r="F136" s="263"/>
      <c r="G136" s="253" t="str">
        <f>IF(P110=100,"Jah","Ei")</f>
        <v>Ei</v>
      </c>
      <c r="H136" s="263"/>
      <c r="I136" s="263"/>
      <c r="J136" s="263"/>
      <c r="K136" s="263"/>
      <c r="L136" s="263"/>
      <c r="M136" s="264"/>
      <c r="N136" s="248" t="str">
        <f>IFERROR(IF(G136="Ei","Ei","Jah"),"Ei")</f>
        <v>Ei</v>
      </c>
      <c r="O136" s="248">
        <f>IF(N136="Ei",0,1)</f>
        <v>0</v>
      </c>
    </row>
    <row r="137" spans="2:16" s="202" customFormat="1" x14ac:dyDescent="0.25"/>
    <row r="138" spans="2:16" s="202" customFormat="1" x14ac:dyDescent="0.25"/>
    <row r="139" spans="2:16" s="202" customFormat="1" x14ac:dyDescent="0.25"/>
    <row r="140" spans="2:16" s="202" customFormat="1" x14ac:dyDescent="0.25"/>
    <row r="141" spans="2:16" s="202" customFormat="1" x14ac:dyDescent="0.25"/>
    <row r="142" spans="2:16" s="202" customFormat="1" x14ac:dyDescent="0.25"/>
    <row r="143" spans="2:16" s="202" customFormat="1" x14ac:dyDescent="0.25"/>
    <row r="144" spans="2:16" s="202" customFormat="1" x14ac:dyDescent="0.25"/>
    <row r="145" spans="2:15" s="202" customFormat="1" x14ac:dyDescent="0.25"/>
    <row r="146" spans="2:15" s="202" customFormat="1" x14ac:dyDescent="0.25"/>
    <row r="147" spans="2:15" s="202" customFormat="1" x14ac:dyDescent="0.25">
      <c r="B147" s="232" t="s">
        <v>566</v>
      </c>
    </row>
    <row r="148" spans="2:15" s="202" customFormat="1" x14ac:dyDescent="0.25"/>
    <row r="149" spans="2:15" s="202" customFormat="1" x14ac:dyDescent="0.25">
      <c r="B149" s="233" t="s">
        <v>14</v>
      </c>
    </row>
    <row r="150" spans="2:15" s="202" customFormat="1" x14ac:dyDescent="0.25">
      <c r="B150" s="234" t="s">
        <v>228</v>
      </c>
      <c r="C150" s="235"/>
      <c r="D150" s="235"/>
      <c r="E150" s="235"/>
      <c r="F150" s="235"/>
      <c r="G150" s="235"/>
      <c r="H150" s="235"/>
      <c r="I150" s="235"/>
      <c r="J150" s="235"/>
      <c r="K150" s="235"/>
      <c r="L150" s="235"/>
      <c r="M150" s="235"/>
      <c r="N150" s="235"/>
      <c r="O150" s="235"/>
    </row>
    <row r="151" spans="2:15" s="202" customFormat="1" x14ac:dyDescent="0.25">
      <c r="B151" s="324" t="s">
        <v>567</v>
      </c>
      <c r="C151" s="324"/>
      <c r="D151" s="324"/>
      <c r="E151" s="324"/>
      <c r="F151" s="324"/>
      <c r="G151" s="324"/>
      <c r="H151" s="324"/>
      <c r="I151" s="324"/>
      <c r="J151" s="324"/>
      <c r="K151" s="324"/>
      <c r="L151" s="324"/>
      <c r="M151" s="324"/>
      <c r="N151" s="324"/>
      <c r="O151" s="324"/>
    </row>
    <row r="152" spans="2:15" s="202" customFormat="1" x14ac:dyDescent="0.25">
      <c r="B152" s="235" t="s">
        <v>568</v>
      </c>
      <c r="C152" s="235"/>
      <c r="D152" s="235"/>
      <c r="E152" s="235"/>
      <c r="F152" s="235"/>
      <c r="G152" s="235"/>
      <c r="H152" s="235"/>
      <c r="I152" s="235"/>
      <c r="J152" s="235"/>
      <c r="K152" s="235"/>
      <c r="L152" s="235"/>
      <c r="M152" s="235"/>
      <c r="N152" s="235"/>
      <c r="O152" s="235"/>
    </row>
    <row r="153" spans="2:15" s="202" customFormat="1" x14ac:dyDescent="0.25">
      <c r="B153" s="235" t="s">
        <v>569</v>
      </c>
      <c r="C153" s="235"/>
      <c r="D153" s="235"/>
      <c r="E153" s="235"/>
      <c r="F153" s="235"/>
      <c r="G153" s="235"/>
      <c r="H153" s="235"/>
      <c r="I153" s="235"/>
      <c r="J153" s="235"/>
      <c r="K153" s="235"/>
      <c r="L153" s="235"/>
      <c r="M153" s="235"/>
      <c r="N153" s="235"/>
      <c r="O153" s="235"/>
    </row>
    <row r="154" spans="2:15" s="202" customFormat="1" x14ac:dyDescent="0.25">
      <c r="B154" s="235" t="s">
        <v>570</v>
      </c>
      <c r="C154" s="235"/>
      <c r="D154" s="235"/>
      <c r="E154" s="235"/>
      <c r="F154" s="235"/>
      <c r="G154" s="235"/>
      <c r="H154" s="235"/>
      <c r="I154" s="235"/>
      <c r="J154" s="235"/>
      <c r="K154" s="235"/>
      <c r="L154" s="235"/>
      <c r="M154" s="235"/>
      <c r="N154" s="235"/>
      <c r="O154" s="235"/>
    </row>
    <row r="155" spans="2:15" s="202" customFormat="1" ht="17.25" x14ac:dyDescent="0.3">
      <c r="B155" s="236">
        <f>91.16*0.98</f>
        <v>89.336799999999997</v>
      </c>
      <c r="C155" s="237" t="s">
        <v>572</v>
      </c>
      <c r="D155" s="235"/>
      <c r="E155" s="235"/>
      <c r="F155" s="235"/>
      <c r="G155" s="235"/>
      <c r="H155" s="235"/>
      <c r="I155" s="235"/>
      <c r="J155" s="235"/>
      <c r="K155" s="235"/>
      <c r="L155" s="235"/>
      <c r="M155" s="235"/>
      <c r="N155" s="235"/>
      <c r="O155" s="235"/>
    </row>
    <row r="156" spans="2:15" s="202" customFormat="1" x14ac:dyDescent="0.25"/>
    <row r="157" spans="2:15" s="202" customFormat="1" x14ac:dyDescent="0.25"/>
    <row r="158" spans="2:15" s="202" customFormat="1" x14ac:dyDescent="0.25"/>
    <row r="159" spans="2:15" s="202" customFormat="1" x14ac:dyDescent="0.25">
      <c r="B159" s="232" t="s">
        <v>624</v>
      </c>
    </row>
    <row r="160" spans="2:15" s="202" customFormat="1" x14ac:dyDescent="0.25">
      <c r="B160" s="232"/>
    </row>
    <row r="161" spans="2:25" s="202" customFormat="1" x14ac:dyDescent="0.25">
      <c r="B161" s="232" t="s">
        <v>625</v>
      </c>
      <c r="C161" s="273" t="s">
        <v>588</v>
      </c>
    </row>
    <row r="162" spans="2:25" s="202" customFormat="1" x14ac:dyDescent="0.25">
      <c r="B162" s="274" t="s">
        <v>626</v>
      </c>
      <c r="C162" s="233"/>
      <c r="D162" s="233"/>
      <c r="E162" s="233"/>
      <c r="F162" s="233"/>
      <c r="G162" s="233"/>
      <c r="H162" s="233"/>
      <c r="I162" s="233"/>
      <c r="J162" s="233"/>
      <c r="K162" s="233"/>
      <c r="L162" s="233"/>
      <c r="M162" s="233"/>
      <c r="N162" s="233"/>
      <c r="O162" s="233"/>
      <c r="P162" s="233"/>
      <c r="Q162" s="233"/>
      <c r="R162" s="233"/>
      <c r="S162" s="233"/>
      <c r="T162" s="233"/>
      <c r="U162" s="233"/>
      <c r="V162" s="233"/>
      <c r="W162" s="233"/>
      <c r="X162" s="233"/>
      <c r="Y162" s="233"/>
    </row>
    <row r="163" spans="2:25" s="202" customFormat="1" x14ac:dyDescent="0.25">
      <c r="B163" s="333" t="s">
        <v>627</v>
      </c>
      <c r="C163" s="333"/>
      <c r="D163" s="333"/>
      <c r="E163" s="333"/>
      <c r="F163" s="333"/>
      <c r="G163" s="333"/>
      <c r="H163" s="333"/>
      <c r="I163" s="333"/>
      <c r="J163" s="333"/>
      <c r="K163" s="333"/>
      <c r="L163" s="333"/>
      <c r="M163" s="333"/>
      <c r="N163" s="333"/>
      <c r="O163" s="333"/>
      <c r="P163" s="333"/>
      <c r="Q163" s="333"/>
      <c r="R163" s="333"/>
      <c r="S163" s="333"/>
      <c r="T163" s="333"/>
      <c r="U163" s="333"/>
      <c r="V163" s="333"/>
      <c r="W163" s="333"/>
      <c r="X163" s="333"/>
      <c r="Y163" s="333"/>
    </row>
    <row r="164" spans="2:25" s="202" customFormat="1" x14ac:dyDescent="0.25">
      <c r="B164" s="333"/>
      <c r="C164" s="333"/>
      <c r="D164" s="333"/>
      <c r="E164" s="333"/>
      <c r="F164" s="333"/>
      <c r="G164" s="333"/>
      <c r="H164" s="333"/>
      <c r="I164" s="333"/>
      <c r="J164" s="333"/>
      <c r="K164" s="333"/>
      <c r="L164" s="333"/>
      <c r="M164" s="333"/>
      <c r="N164" s="333"/>
      <c r="O164" s="333"/>
      <c r="P164" s="333"/>
      <c r="Q164" s="333"/>
      <c r="R164" s="333"/>
      <c r="S164" s="333"/>
      <c r="T164" s="333"/>
      <c r="U164" s="333"/>
      <c r="V164" s="333"/>
      <c r="W164" s="333"/>
      <c r="X164" s="333"/>
      <c r="Y164" s="333"/>
    </row>
    <row r="165" spans="2:25" s="202" customFormat="1" x14ac:dyDescent="0.25">
      <c r="B165" s="333"/>
      <c r="C165" s="333"/>
      <c r="D165" s="333"/>
      <c r="E165" s="333"/>
      <c r="F165" s="333"/>
      <c r="G165" s="333"/>
      <c r="H165" s="333"/>
      <c r="I165" s="333"/>
      <c r="J165" s="333"/>
      <c r="K165" s="333"/>
      <c r="L165" s="333"/>
      <c r="M165" s="333"/>
      <c r="N165" s="333"/>
      <c r="O165" s="333"/>
      <c r="P165" s="333"/>
      <c r="Q165" s="333"/>
      <c r="R165" s="333"/>
      <c r="S165" s="333"/>
      <c r="T165" s="333"/>
      <c r="U165" s="333"/>
      <c r="V165" s="333"/>
      <c r="W165" s="333"/>
      <c r="X165" s="333"/>
      <c r="Y165" s="333"/>
    </row>
    <row r="166" spans="2:25" s="202" customFormat="1" x14ac:dyDescent="0.25">
      <c r="B166" s="333"/>
      <c r="C166" s="333"/>
      <c r="D166" s="333"/>
      <c r="E166" s="333"/>
      <c r="F166" s="333"/>
      <c r="G166" s="333"/>
      <c r="H166" s="333"/>
      <c r="I166" s="333"/>
      <c r="J166" s="333"/>
      <c r="K166" s="333"/>
      <c r="L166" s="333"/>
      <c r="M166" s="333"/>
      <c r="N166" s="333"/>
      <c r="O166" s="333"/>
      <c r="P166" s="333"/>
      <c r="Q166" s="333"/>
      <c r="R166" s="333"/>
      <c r="S166" s="333"/>
      <c r="T166" s="333"/>
      <c r="U166" s="333"/>
      <c r="V166" s="333"/>
      <c r="W166" s="333"/>
      <c r="X166" s="333"/>
      <c r="Y166" s="333"/>
    </row>
    <row r="167" spans="2:25" s="202" customFormat="1" x14ac:dyDescent="0.25">
      <c r="B167" s="333" t="s">
        <v>628</v>
      </c>
      <c r="C167" s="333"/>
      <c r="D167" s="333"/>
      <c r="E167" s="333"/>
      <c r="F167" s="333"/>
      <c r="G167" s="333"/>
      <c r="H167" s="333"/>
      <c r="I167" s="333"/>
      <c r="J167" s="333"/>
      <c r="K167" s="333"/>
      <c r="L167" s="333"/>
      <c r="M167" s="333"/>
      <c r="N167" s="333"/>
      <c r="O167" s="333"/>
      <c r="P167" s="333"/>
      <c r="Q167" s="333"/>
      <c r="R167" s="333"/>
      <c r="S167" s="333"/>
      <c r="T167" s="333"/>
      <c r="U167" s="333"/>
      <c r="V167" s="333"/>
      <c r="W167" s="333"/>
      <c r="X167" s="333"/>
      <c r="Y167" s="333"/>
    </row>
    <row r="168" spans="2:25" s="202" customFormat="1" x14ac:dyDescent="0.25">
      <c r="B168" s="333"/>
      <c r="C168" s="333"/>
      <c r="D168" s="333"/>
      <c r="E168" s="333"/>
      <c r="F168" s="333"/>
      <c r="G168" s="333"/>
      <c r="H168" s="333"/>
      <c r="I168" s="333"/>
      <c r="J168" s="333"/>
      <c r="K168" s="333"/>
      <c r="L168" s="333"/>
      <c r="M168" s="333"/>
      <c r="N168" s="333"/>
      <c r="O168" s="333"/>
      <c r="P168" s="333"/>
      <c r="Q168" s="333"/>
      <c r="R168" s="333"/>
      <c r="S168" s="333"/>
      <c r="T168" s="333"/>
      <c r="U168" s="333"/>
      <c r="V168" s="333"/>
      <c r="W168" s="333"/>
      <c r="X168" s="333"/>
      <c r="Y168" s="333"/>
    </row>
    <row r="169" spans="2:25" s="202" customFormat="1" x14ac:dyDescent="0.25">
      <c r="B169" s="333"/>
      <c r="C169" s="333"/>
      <c r="D169" s="333"/>
      <c r="E169" s="333"/>
      <c r="F169" s="333"/>
      <c r="G169" s="333"/>
      <c r="H169" s="333"/>
      <c r="I169" s="333"/>
      <c r="J169" s="333"/>
      <c r="K169" s="333"/>
      <c r="L169" s="333"/>
      <c r="M169" s="333"/>
      <c r="N169" s="333"/>
      <c r="O169" s="333"/>
      <c r="P169" s="333"/>
      <c r="Q169" s="333"/>
      <c r="R169" s="333"/>
      <c r="S169" s="333"/>
      <c r="T169" s="333"/>
      <c r="U169" s="333"/>
      <c r="V169" s="333"/>
      <c r="W169" s="333"/>
      <c r="X169" s="333"/>
      <c r="Y169" s="333"/>
    </row>
    <row r="170" spans="2:25" s="202" customFormat="1" x14ac:dyDescent="0.25">
      <c r="B170" s="274" t="s">
        <v>629</v>
      </c>
      <c r="C170" s="233"/>
      <c r="D170" s="233"/>
      <c r="E170" s="233"/>
      <c r="F170" s="233"/>
      <c r="G170" s="233"/>
      <c r="H170" s="233"/>
      <c r="I170" s="233"/>
      <c r="J170" s="233"/>
      <c r="K170" s="233"/>
      <c r="L170" s="233"/>
      <c r="M170" s="233"/>
      <c r="N170" s="233"/>
      <c r="O170" s="233"/>
      <c r="P170" s="233"/>
      <c r="Q170" s="233"/>
      <c r="R170" s="233"/>
      <c r="S170" s="233"/>
      <c r="T170" s="233"/>
      <c r="U170" s="233"/>
      <c r="V170" s="233"/>
      <c r="W170" s="233"/>
      <c r="X170" s="233"/>
      <c r="Y170" s="233"/>
    </row>
    <row r="171" spans="2:25" s="202" customFormat="1" x14ac:dyDescent="0.25">
      <c r="B171" s="233" t="s">
        <v>630</v>
      </c>
      <c r="C171" s="233"/>
      <c r="D171" s="233"/>
      <c r="E171" s="233"/>
      <c r="F171" s="233"/>
      <c r="G171" s="233"/>
      <c r="H171" s="233"/>
      <c r="I171" s="233"/>
      <c r="J171" s="233"/>
      <c r="K171" s="233"/>
      <c r="L171" s="233"/>
      <c r="M171" s="233"/>
      <c r="N171" s="233"/>
      <c r="O171" s="233"/>
      <c r="P171" s="233"/>
      <c r="Q171" s="233"/>
      <c r="R171" s="233"/>
      <c r="S171" s="233"/>
      <c r="T171" s="233"/>
      <c r="U171" s="233"/>
      <c r="V171" s="233"/>
      <c r="W171" s="233"/>
      <c r="X171" s="233"/>
      <c r="Y171" s="233"/>
    </row>
    <row r="172" spans="2:25" s="202" customFormat="1" x14ac:dyDescent="0.25"/>
    <row r="173" spans="2:25" s="202" customFormat="1" x14ac:dyDescent="0.25">
      <c r="B173" s="202" t="s">
        <v>514</v>
      </c>
    </row>
    <row r="174" spans="2:25" s="202" customFormat="1" x14ac:dyDescent="0.25">
      <c r="B174" s="202" t="s">
        <v>515</v>
      </c>
    </row>
    <row r="175" spans="2:25" s="202" customFormat="1" x14ac:dyDescent="0.25">
      <c r="B175" s="202" t="s">
        <v>56</v>
      </c>
    </row>
    <row r="176" spans="2:25" s="202" customFormat="1" x14ac:dyDescent="0.25">
      <c r="B176" s="202" t="s">
        <v>516</v>
      </c>
    </row>
    <row r="177" spans="2:11" s="202" customFormat="1" x14ac:dyDescent="0.25">
      <c r="B177" s="202" t="s">
        <v>57</v>
      </c>
    </row>
    <row r="178" spans="2:11" s="202" customFormat="1" x14ac:dyDescent="0.25">
      <c r="B178" s="202" t="s">
        <v>519</v>
      </c>
    </row>
    <row r="179" spans="2:11" s="202" customFormat="1" x14ac:dyDescent="0.25">
      <c r="B179" s="202" t="s">
        <v>517</v>
      </c>
    </row>
    <row r="180" spans="2:11" s="202" customFormat="1" x14ac:dyDescent="0.25">
      <c r="B180" s="202" t="s">
        <v>520</v>
      </c>
    </row>
    <row r="181" spans="2:11" s="202" customFormat="1" x14ac:dyDescent="0.25">
      <c r="B181" s="202" t="s">
        <v>522</v>
      </c>
    </row>
    <row r="182" spans="2:11" s="202" customFormat="1" x14ac:dyDescent="0.25">
      <c r="B182" s="202" t="s">
        <v>521</v>
      </c>
    </row>
    <row r="183" spans="2:11" s="202" customFormat="1" x14ac:dyDescent="0.25">
      <c r="B183" s="202" t="s">
        <v>523</v>
      </c>
    </row>
    <row r="184" spans="2:11" s="202" customFormat="1" x14ac:dyDescent="0.25">
      <c r="B184" s="202" t="s">
        <v>518</v>
      </c>
    </row>
    <row r="185" spans="2:11" s="202" customFormat="1" x14ac:dyDescent="0.25"/>
    <row r="186" spans="2:11" s="202" customFormat="1" x14ac:dyDescent="0.25"/>
    <row r="187" spans="2:11" s="202" customFormat="1" x14ac:dyDescent="0.25">
      <c r="B187" s="203" t="s">
        <v>615</v>
      </c>
    </row>
    <row r="188" spans="2:11" s="202" customFormat="1" x14ac:dyDescent="0.25">
      <c r="B188" s="202" t="s">
        <v>616</v>
      </c>
    </row>
    <row r="189" spans="2:11" s="202" customFormat="1" x14ac:dyDescent="0.25">
      <c r="B189" s="202" t="s">
        <v>617</v>
      </c>
    </row>
    <row r="190" spans="2:11" s="202" customFormat="1" x14ac:dyDescent="0.25">
      <c r="B190" s="202" t="s">
        <v>612</v>
      </c>
    </row>
    <row r="191" spans="2:11" x14ac:dyDescent="0.25">
      <c r="B191" s="202" t="s">
        <v>618</v>
      </c>
      <c r="C191" s="202"/>
      <c r="D191" s="202"/>
      <c r="E191" s="202"/>
      <c r="F191" s="202"/>
      <c r="G191" s="202"/>
      <c r="H191" s="202"/>
      <c r="I191" s="202"/>
      <c r="J191" s="202"/>
      <c r="K191" s="202"/>
    </row>
    <row r="192" spans="2:11" x14ac:dyDescent="0.25">
      <c r="B192" s="202" t="s">
        <v>619</v>
      </c>
      <c r="C192" s="202"/>
      <c r="D192" s="202"/>
      <c r="E192" s="202"/>
      <c r="F192" s="202"/>
      <c r="G192" s="202"/>
      <c r="H192" s="202"/>
      <c r="I192" s="202"/>
      <c r="J192" s="202"/>
      <c r="K192" s="202"/>
    </row>
    <row r="193" spans="2:11" x14ac:dyDescent="0.25">
      <c r="B193" s="202" t="s">
        <v>620</v>
      </c>
      <c r="C193" s="202"/>
      <c r="D193" s="202"/>
      <c r="E193" s="202"/>
      <c r="F193" s="202"/>
      <c r="G193" s="202"/>
      <c r="H193" s="202"/>
      <c r="I193" s="202"/>
      <c r="J193" s="202"/>
      <c r="K193" s="202"/>
    </row>
    <row r="194" spans="2:11" x14ac:dyDescent="0.25">
      <c r="B194" s="202"/>
      <c r="C194" s="202"/>
      <c r="D194" s="202"/>
      <c r="E194" s="202"/>
      <c r="F194" s="202"/>
      <c r="G194" s="202"/>
      <c r="H194" s="202"/>
      <c r="I194" s="202"/>
      <c r="J194" s="202"/>
      <c r="K194" s="202"/>
    </row>
    <row r="195" spans="2:11" x14ac:dyDescent="0.25">
      <c r="B195" s="202"/>
      <c r="C195" s="202"/>
      <c r="D195" s="202"/>
      <c r="E195" s="202"/>
      <c r="F195" s="202"/>
      <c r="G195" s="202"/>
      <c r="H195" s="202"/>
      <c r="I195" s="202"/>
      <c r="J195" s="202"/>
      <c r="K195" s="202"/>
    </row>
    <row r="196" spans="2:11" x14ac:dyDescent="0.25">
      <c r="B196" s="203" t="s">
        <v>621</v>
      </c>
      <c r="C196" s="202"/>
      <c r="D196" s="202"/>
      <c r="E196" s="202"/>
      <c r="F196" s="202"/>
      <c r="G196" s="202"/>
      <c r="H196" s="202"/>
      <c r="I196" s="202"/>
      <c r="J196" s="202"/>
      <c r="K196" s="202"/>
    </row>
    <row r="197" spans="2:11" x14ac:dyDescent="0.25">
      <c r="B197" s="202" t="s">
        <v>595</v>
      </c>
      <c r="C197" s="202"/>
      <c r="D197" s="202"/>
      <c r="E197" s="202"/>
      <c r="F197" s="202"/>
      <c r="G197" s="202"/>
      <c r="H197" s="202"/>
      <c r="I197" s="202"/>
      <c r="J197" s="202"/>
      <c r="K197" s="202"/>
    </row>
    <row r="198" spans="2:11" x14ac:dyDescent="0.25">
      <c r="B198" s="202" t="s">
        <v>598</v>
      </c>
      <c r="C198" s="202"/>
      <c r="D198" s="202"/>
      <c r="E198" s="202"/>
      <c r="F198" s="202"/>
      <c r="G198" s="202"/>
      <c r="H198" s="202"/>
      <c r="I198" s="202"/>
      <c r="J198" s="202"/>
      <c r="K198" s="202"/>
    </row>
    <row r="199" spans="2:11" x14ac:dyDescent="0.25">
      <c r="B199" s="202" t="s">
        <v>600</v>
      </c>
      <c r="C199" s="202"/>
      <c r="D199" s="202"/>
      <c r="E199" s="202"/>
      <c r="F199" s="202"/>
      <c r="G199" s="202"/>
      <c r="H199" s="202"/>
      <c r="I199" s="202"/>
      <c r="J199" s="202"/>
      <c r="K199" s="202"/>
    </row>
    <row r="200" spans="2:11" x14ac:dyDescent="0.25">
      <c r="B200" s="202" t="s">
        <v>513</v>
      </c>
      <c r="C200" s="202"/>
      <c r="D200" s="202"/>
      <c r="E200" s="202"/>
      <c r="F200" s="202"/>
      <c r="G200" s="202"/>
      <c r="H200" s="202"/>
      <c r="I200" s="202"/>
      <c r="J200" s="202"/>
      <c r="K200" s="202"/>
    </row>
    <row r="201" spans="2:11" x14ac:dyDescent="0.25">
      <c r="B201" s="202" t="s">
        <v>604</v>
      </c>
      <c r="C201" s="202"/>
      <c r="D201" s="202"/>
      <c r="E201" s="202"/>
      <c r="F201" s="202"/>
      <c r="G201" s="202"/>
      <c r="H201" s="202"/>
      <c r="I201" s="202"/>
      <c r="J201" s="202"/>
      <c r="K201" s="202"/>
    </row>
    <row r="202" spans="2:11" x14ac:dyDescent="0.25">
      <c r="B202" s="202" t="s">
        <v>631</v>
      </c>
      <c r="C202" s="202"/>
      <c r="D202" s="202"/>
      <c r="E202" s="202"/>
      <c r="F202" s="202"/>
      <c r="G202" s="202"/>
      <c r="H202" s="202"/>
      <c r="I202" s="202"/>
      <c r="J202" s="202"/>
      <c r="K202" s="202"/>
    </row>
    <row r="203" spans="2:11" x14ac:dyDescent="0.25">
      <c r="B203" s="202"/>
      <c r="C203" s="202"/>
      <c r="D203" s="202"/>
      <c r="E203" s="202"/>
      <c r="F203" s="202"/>
      <c r="G203" s="202"/>
      <c r="H203" s="202"/>
      <c r="I203" s="202"/>
      <c r="J203" s="202"/>
      <c r="K203" s="202"/>
    </row>
    <row r="204" spans="2:11" x14ac:dyDescent="0.25">
      <c r="B204" s="202"/>
      <c r="C204" s="202"/>
      <c r="D204" s="202"/>
      <c r="E204" s="202"/>
      <c r="F204" s="202"/>
      <c r="G204" s="202"/>
      <c r="H204" s="202"/>
      <c r="I204" s="202"/>
      <c r="J204" s="202"/>
      <c r="K204" s="202"/>
    </row>
    <row r="205" spans="2:11" x14ac:dyDescent="0.25">
      <c r="B205" s="202"/>
      <c r="C205" s="202"/>
      <c r="D205" s="202"/>
      <c r="E205" s="202"/>
      <c r="F205" s="202"/>
      <c r="G205" s="202"/>
      <c r="H205" s="202"/>
      <c r="I205" s="202"/>
      <c r="J205" s="202"/>
      <c r="K205" s="202"/>
    </row>
    <row r="206" spans="2:11" x14ac:dyDescent="0.25">
      <c r="B206" s="202"/>
      <c r="C206" s="202"/>
      <c r="D206" s="202"/>
      <c r="E206" s="202"/>
      <c r="F206" s="202"/>
      <c r="G206" s="202"/>
      <c r="H206" s="202"/>
      <c r="I206" s="202"/>
      <c r="J206" s="202"/>
      <c r="K206" s="202"/>
    </row>
    <row r="207" spans="2:11" x14ac:dyDescent="0.25">
      <c r="B207" s="202"/>
      <c r="C207" s="202"/>
      <c r="D207" s="202"/>
      <c r="E207" s="202"/>
      <c r="F207" s="202"/>
      <c r="G207" s="202"/>
      <c r="H207" s="202"/>
      <c r="I207" s="202"/>
      <c r="J207" s="202"/>
      <c r="K207" s="202"/>
    </row>
    <row r="208" spans="2:11" x14ac:dyDescent="0.25">
      <c r="B208" s="202"/>
      <c r="C208" s="202"/>
      <c r="D208" s="202"/>
      <c r="E208" s="202"/>
      <c r="F208" s="202"/>
      <c r="G208" s="202"/>
      <c r="H208" s="202"/>
      <c r="I208" s="202"/>
      <c r="J208" s="202"/>
      <c r="K208" s="202"/>
    </row>
    <row r="209" spans="2:11" x14ac:dyDescent="0.25">
      <c r="B209" s="202"/>
      <c r="C209" s="202"/>
      <c r="D209" s="202"/>
      <c r="E209" s="202"/>
      <c r="F209" s="202"/>
      <c r="G209" s="202"/>
      <c r="H209" s="202"/>
      <c r="I209" s="202"/>
      <c r="J209" s="202"/>
      <c r="K209" s="202"/>
    </row>
    <row r="210" spans="2:11" x14ac:dyDescent="0.25">
      <c r="B210" s="202"/>
      <c r="C210" s="202"/>
      <c r="D210" s="202"/>
      <c r="E210" s="202"/>
      <c r="F210" s="202"/>
      <c r="G210" s="202"/>
      <c r="H210" s="202"/>
      <c r="I210" s="202"/>
      <c r="J210" s="202"/>
      <c r="K210" s="202"/>
    </row>
    <row r="211" spans="2:11" x14ac:dyDescent="0.25">
      <c r="B211" s="202"/>
      <c r="C211" s="202"/>
      <c r="D211" s="202"/>
      <c r="E211" s="202"/>
      <c r="F211" s="202"/>
      <c r="G211" s="202"/>
      <c r="H211" s="202"/>
      <c r="I211" s="202"/>
      <c r="J211" s="202"/>
      <c r="K211" s="202"/>
    </row>
    <row r="212" spans="2:11" x14ac:dyDescent="0.25">
      <c r="B212" s="202"/>
      <c r="C212" s="202"/>
      <c r="D212" s="202"/>
      <c r="E212" s="202"/>
      <c r="F212" s="202"/>
      <c r="G212" s="202"/>
      <c r="H212" s="202"/>
      <c r="I212" s="202"/>
      <c r="J212" s="202"/>
      <c r="K212" s="202"/>
    </row>
    <row r="213" spans="2:11" x14ac:dyDescent="0.25">
      <c r="B213" s="202"/>
      <c r="C213" s="202"/>
      <c r="D213" s="202"/>
      <c r="E213" s="202"/>
      <c r="F213" s="202"/>
      <c r="G213" s="202"/>
      <c r="H213" s="202"/>
      <c r="I213" s="202"/>
      <c r="J213" s="202"/>
      <c r="K213" s="202"/>
    </row>
    <row r="214" spans="2:11" x14ac:dyDescent="0.25">
      <c r="B214" s="202"/>
      <c r="C214" s="202"/>
      <c r="D214" s="202"/>
      <c r="E214" s="202"/>
      <c r="F214" s="202"/>
      <c r="G214" s="202"/>
      <c r="H214" s="202"/>
      <c r="I214" s="202"/>
      <c r="J214" s="202"/>
      <c r="K214" s="202"/>
    </row>
    <row r="215" spans="2:11" x14ac:dyDescent="0.25">
      <c r="B215" s="202"/>
      <c r="C215" s="202"/>
      <c r="D215" s="202"/>
      <c r="E215" s="202"/>
      <c r="F215" s="202"/>
      <c r="G215" s="202"/>
      <c r="H215" s="202"/>
      <c r="I215" s="202"/>
      <c r="J215" s="202"/>
      <c r="K215" s="202"/>
    </row>
    <row r="216" spans="2:11" x14ac:dyDescent="0.25">
      <c r="B216" s="202"/>
      <c r="C216" s="202"/>
      <c r="D216" s="202"/>
      <c r="E216" s="202"/>
      <c r="F216" s="202"/>
      <c r="G216" s="202"/>
      <c r="H216" s="202"/>
      <c r="I216" s="202"/>
      <c r="J216" s="202"/>
      <c r="K216" s="202"/>
    </row>
    <row r="217" spans="2:11" x14ac:dyDescent="0.25">
      <c r="B217" s="202"/>
      <c r="C217" s="202"/>
      <c r="D217" s="202"/>
      <c r="E217" s="202"/>
      <c r="F217" s="202"/>
      <c r="G217" s="202"/>
      <c r="H217" s="202"/>
      <c r="I217" s="202"/>
      <c r="J217" s="202"/>
      <c r="K217" s="202"/>
    </row>
    <row r="218" spans="2:11" x14ac:dyDescent="0.25">
      <c r="B218" s="202"/>
      <c r="C218" s="202"/>
      <c r="D218" s="202"/>
      <c r="E218" s="202"/>
      <c r="F218" s="202"/>
      <c r="G218" s="202"/>
      <c r="H218" s="202"/>
      <c r="I218" s="202"/>
      <c r="J218" s="202"/>
      <c r="K218" s="202"/>
    </row>
  </sheetData>
  <mergeCells count="41">
    <mergeCell ref="B163:Y166"/>
    <mergeCell ref="B167:Y169"/>
    <mergeCell ref="C17:D17"/>
    <mergeCell ref="C19:D19"/>
    <mergeCell ref="C20:D20"/>
    <mergeCell ref="H30:Z30"/>
    <mergeCell ref="E30:G30"/>
    <mergeCell ref="E33:Z33"/>
    <mergeCell ref="B151:O151"/>
    <mergeCell ref="B110:H110"/>
    <mergeCell ref="B85:C85"/>
    <mergeCell ref="B86:C86"/>
    <mergeCell ref="B87:C87"/>
    <mergeCell ref="C131:F131"/>
    <mergeCell ref="I131:L131"/>
    <mergeCell ref="C134:F134"/>
    <mergeCell ref="I134:L134"/>
    <mergeCell ref="C135:F135"/>
    <mergeCell ref="I135:L135"/>
    <mergeCell ref="D120:F122"/>
    <mergeCell ref="B79:O83"/>
    <mergeCell ref="B68:H68"/>
    <mergeCell ref="B6:D6"/>
    <mergeCell ref="C7:D7"/>
    <mergeCell ref="C8:D8"/>
    <mergeCell ref="B28:D28"/>
    <mergeCell ref="E31:G31"/>
    <mergeCell ref="E32:G32"/>
    <mergeCell ref="B25:O26"/>
    <mergeCell ref="B35:O39"/>
    <mergeCell ref="B41:C41"/>
    <mergeCell ref="B42:C42"/>
    <mergeCell ref="B15:D15"/>
    <mergeCell ref="C18:D18"/>
    <mergeCell ref="C21:D21"/>
    <mergeCell ref="C22:D22"/>
    <mergeCell ref="H29:W29"/>
    <mergeCell ref="B2:C2"/>
    <mergeCell ref="B3:C3"/>
    <mergeCell ref="B4:C4"/>
    <mergeCell ref="B43:C43"/>
  </mergeCells>
  <conditionalFormatting sqref="C29">
    <cfRule type="expression" dxfId="1" priority="1">
      <formula>AND(C29&lt;&gt;"",C29&gt;=10%)</formula>
    </cfRule>
    <cfRule type="expression" dxfId="0" priority="2">
      <formula>AND(C29&lt;&gt;"",C29&lt;10%)</formula>
    </cfRule>
  </conditionalFormatting>
  <dataValidations count="5">
    <dataValidation type="list" allowBlank="1" showInputMessage="1" showErrorMessage="1" sqref="C27 C12:C14 C16 C23:C24" xr:uid="{BBF7F353-E7FB-4946-9F66-1015D4BAE172}">
      <formula1>"Jah, Ei"</formula1>
    </dataValidation>
    <dataValidation type="list" allowBlank="1" showInputMessage="1" showErrorMessage="1" sqref="C19:D19" xr:uid="{14C555E9-6443-4000-9468-5E995F5F083A}">
      <formula1>$B$197:$B$202</formula1>
    </dataValidation>
    <dataValidation type="list" allowBlank="1" showInputMessage="1" showErrorMessage="1" sqref="C17:D17" xr:uid="{38A66812-E744-4086-A947-5A98895E5D31}">
      <formula1>$B$173:$B$184</formula1>
    </dataValidation>
    <dataValidation type="list" allowBlank="1" showInputMessage="1" showErrorMessage="1" sqref="C18:D18" xr:uid="{AE2FCC21-1DDE-462E-B8F6-38B35B5BA7BB}">
      <formula1>"keskkonnasõbralik sõiduk, heiteta sõiduk, ei kohaldu"</formula1>
    </dataValidation>
    <dataValidation type="list" allowBlank="1" showInputMessage="1" showErrorMessage="1" sqref="C20:D20" xr:uid="{AC7DEB25-BBBE-46FD-AB82-7F70BC22171D}">
      <formula1>$B$188:$B$193</formula1>
    </dataValidation>
  </dataValidations>
  <hyperlinks>
    <hyperlink ref="B150" r:id="rId1" xr:uid="{4C3E7F79-F97F-4A15-A66D-20950C56A577}"/>
    <hyperlink ref="H121" r:id="rId2" xr:uid="{4B085F3E-927C-4B28-B54E-82075DEAFD9C}"/>
    <hyperlink ref="H122" r:id="rId3" xr:uid="{A6EA5076-A0AA-4010-995D-EF5B13EC194B}"/>
    <hyperlink ref="I123" r:id="rId4" xr:uid="{65DA9194-F7E9-4FBF-8965-3837C92AEB3E}"/>
    <hyperlink ref="I124" r:id="rId5" xr:uid="{39D17222-A2B6-4BD0-A6D8-B3F678B480DD}"/>
    <hyperlink ref="G18" r:id="rId6" display="https://eur-lex.europa.eu/legal-content/EN-ET/TXT/?from=FR&amp;uri=CELEX%3A02014R0651-20230701&amp;qid=1691573366912" xr:uid="{19A00DE8-F0C1-46F7-808B-68AF80F38CFD}"/>
    <hyperlink ref="C161" r:id="rId7" xr:uid="{95301C27-66B7-4FA3-9063-3A24E646D02A}"/>
    <hyperlink ref="Y29" r:id="rId8" xr:uid="{802F6EC3-0931-4790-BD6A-F77C71C16BAE}"/>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9BAFA9B7-1B70-4F30-832E-2C401CEE1082}">
          <x14:formula1>
            <xm:f>Eriheited!$D$123:$D$161</xm:f>
          </x14:formula1>
          <xm:sqref>C50:C67 C92:C109</xm:sqref>
        </x14:dataValidation>
        <x14:dataValidation type="list" allowBlank="1" showInputMessage="1" showErrorMessage="1" xr:uid="{4695676D-9737-4D3E-B5E2-634AB4705E44}">
          <x14:formula1>
            <xm:f>Eriheited!$D$163:$D$164</xm:f>
          </x14:formula1>
          <xm:sqref>C48 C90</xm:sqref>
        </x14:dataValidation>
        <x14:dataValidation type="list" allowBlank="1" showInputMessage="1" showErrorMessage="1" xr:uid="{251FB51A-5A1F-49AA-A4E8-48A82577D345}">
          <x14:formula1>
            <xm:f>Eriheited!$D$162</xm:f>
          </x14:formula1>
          <xm:sqref>C49 C91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D16A5-A258-4047-8825-E3B184429CFA}">
  <dimension ref="A1:AG240"/>
  <sheetViews>
    <sheetView topLeftCell="A147" zoomScale="98" zoomScaleNormal="98" workbookViewId="0">
      <selection activeCell="C101" sqref="C101"/>
    </sheetView>
  </sheetViews>
  <sheetFormatPr defaultRowHeight="15" x14ac:dyDescent="0.25"/>
  <cols>
    <col min="1" max="1" width="22" customWidth="1"/>
    <col min="2" max="2" width="41" customWidth="1"/>
    <col min="3" max="3" width="36.7109375" customWidth="1"/>
    <col min="4" max="4" width="19.85546875" customWidth="1"/>
    <col min="5" max="5" width="17.5703125" style="1" bestFit="1" customWidth="1"/>
    <col min="6" max="6" width="24.140625" customWidth="1"/>
    <col min="7" max="7" width="21.42578125" customWidth="1"/>
    <col min="10" max="10" width="24.7109375" customWidth="1"/>
    <col min="12" max="12" width="14.85546875" customWidth="1"/>
    <col min="13" max="14" width="13.5703125" customWidth="1"/>
    <col min="15" max="15" width="14.42578125" customWidth="1"/>
    <col min="16" max="16" width="13.85546875" customWidth="1"/>
    <col min="17" max="17" width="12.85546875" customWidth="1"/>
  </cols>
  <sheetData>
    <row r="1" spans="2:20" x14ac:dyDescent="0.25">
      <c r="B1" s="11" t="s">
        <v>16</v>
      </c>
    </row>
    <row r="2" spans="2:20" hidden="1" x14ac:dyDescent="0.25">
      <c r="B2" s="4" t="s">
        <v>222</v>
      </c>
      <c r="D2" t="s">
        <v>223</v>
      </c>
      <c r="E2" t="s">
        <v>224</v>
      </c>
      <c r="P2" s="75"/>
      <c r="Q2" s="75"/>
      <c r="R2" s="75"/>
      <c r="S2" s="75"/>
      <c r="T2" s="75"/>
    </row>
    <row r="3" spans="2:20" hidden="1" x14ac:dyDescent="0.25">
      <c r="B3" s="61" t="s">
        <v>54</v>
      </c>
      <c r="C3" s="16" t="s">
        <v>17</v>
      </c>
      <c r="D3" s="17" t="s">
        <v>18</v>
      </c>
      <c r="E3" s="146" t="s">
        <v>19</v>
      </c>
      <c r="F3" s="16" t="s">
        <v>20</v>
      </c>
    </row>
    <row r="4" spans="2:20" ht="32.25" hidden="1" x14ac:dyDescent="0.25">
      <c r="B4" s="18" t="s">
        <v>55</v>
      </c>
      <c r="C4" s="18" t="s">
        <v>21</v>
      </c>
      <c r="D4" s="25">
        <v>1.0322E-2</v>
      </c>
      <c r="E4" s="147" t="s">
        <v>22</v>
      </c>
      <c r="F4" s="19" t="s">
        <v>23</v>
      </c>
    </row>
    <row r="5" spans="2:20" ht="32.25" hidden="1" x14ac:dyDescent="0.25">
      <c r="B5" s="20" t="s">
        <v>56</v>
      </c>
      <c r="C5" s="20" t="s">
        <v>24</v>
      </c>
      <c r="D5" s="25">
        <v>1.6142E-2</v>
      </c>
      <c r="E5" s="147" t="s">
        <v>22</v>
      </c>
      <c r="F5" s="21" t="s">
        <v>25</v>
      </c>
    </row>
    <row r="6" spans="2:20" ht="32.25" hidden="1" x14ac:dyDescent="0.25">
      <c r="B6" s="20" t="s">
        <v>57</v>
      </c>
      <c r="C6" s="20" t="s">
        <v>26</v>
      </c>
      <c r="D6" s="25">
        <v>1.3080000000000001E-2</v>
      </c>
      <c r="E6" s="147" t="s">
        <v>22</v>
      </c>
      <c r="F6" s="21" t="s">
        <v>27</v>
      </c>
    </row>
    <row r="7" spans="2:20" ht="32.25" hidden="1" x14ac:dyDescent="0.25">
      <c r="B7" s="18" t="s">
        <v>58</v>
      </c>
      <c r="C7" s="18" t="s">
        <v>28</v>
      </c>
      <c r="D7" s="25">
        <v>1.1548000000000001E-2</v>
      </c>
      <c r="E7" s="147" t="s">
        <v>22</v>
      </c>
      <c r="F7" s="21" t="s">
        <v>29</v>
      </c>
    </row>
    <row r="8" spans="2:20" ht="32.25" hidden="1" x14ac:dyDescent="0.25">
      <c r="B8" s="18" t="s">
        <v>59</v>
      </c>
      <c r="C8" s="18" t="s">
        <v>30</v>
      </c>
      <c r="D8" s="25">
        <v>1.0382000000000001E-2</v>
      </c>
      <c r="E8" s="147" t="s">
        <v>22</v>
      </c>
      <c r="F8" s="21" t="s">
        <v>31</v>
      </c>
    </row>
    <row r="9" spans="2:20" ht="32.25" hidden="1" x14ac:dyDescent="0.25">
      <c r="B9" s="20" t="s">
        <v>60</v>
      </c>
      <c r="C9" s="20" t="s">
        <v>32</v>
      </c>
      <c r="D9" s="25">
        <v>4.5719999999999997E-3</v>
      </c>
      <c r="E9" s="147" t="s">
        <v>22</v>
      </c>
      <c r="F9" s="21" t="s">
        <v>33</v>
      </c>
    </row>
    <row r="10" spans="2:20" ht="32.25" hidden="1" x14ac:dyDescent="0.25">
      <c r="B10" s="20" t="s">
        <v>66</v>
      </c>
      <c r="C10" s="20" t="s">
        <v>34</v>
      </c>
      <c r="D10" s="26">
        <v>8.2000000000000003E-2</v>
      </c>
      <c r="E10" s="147" t="s">
        <v>22</v>
      </c>
      <c r="F10" s="22" t="s">
        <v>35</v>
      </c>
    </row>
    <row r="11" spans="2:20" ht="32.25" hidden="1" x14ac:dyDescent="0.25">
      <c r="B11" s="20" t="s">
        <v>61</v>
      </c>
      <c r="C11" s="20" t="s">
        <v>36</v>
      </c>
      <c r="D11" s="25">
        <v>3.539E-3</v>
      </c>
      <c r="E11" s="147" t="s">
        <v>22</v>
      </c>
      <c r="F11" s="21" t="s">
        <v>37</v>
      </c>
    </row>
    <row r="12" spans="2:20" ht="32.25" hidden="1" x14ac:dyDescent="0.25">
      <c r="B12" s="20" t="s">
        <v>38</v>
      </c>
      <c r="C12" s="20" t="s">
        <v>38</v>
      </c>
      <c r="D12" s="24">
        <v>5.0189000000000004E-2</v>
      </c>
      <c r="E12" s="147" t="s">
        <v>22</v>
      </c>
      <c r="F12" s="21" t="s">
        <v>39</v>
      </c>
    </row>
    <row r="13" spans="2:20" ht="42.75" hidden="1" x14ac:dyDescent="0.25">
      <c r="B13" s="20" t="s">
        <v>62</v>
      </c>
      <c r="C13" s="20" t="s">
        <v>40</v>
      </c>
      <c r="D13" s="24">
        <v>6.1138999999999999E-2</v>
      </c>
      <c r="E13" s="148" t="s">
        <v>41</v>
      </c>
      <c r="F13" s="21" t="s">
        <v>42</v>
      </c>
    </row>
    <row r="14" spans="2:20" ht="32.25" hidden="1" x14ac:dyDescent="0.25">
      <c r="B14" s="20" t="s">
        <v>63</v>
      </c>
      <c r="C14" s="20" t="s">
        <v>43</v>
      </c>
      <c r="D14" s="25">
        <v>3.8578999999999995E-2</v>
      </c>
      <c r="E14" s="147" t="s">
        <v>22</v>
      </c>
      <c r="F14" s="21" t="s">
        <v>44</v>
      </c>
    </row>
    <row r="15" spans="2:20" ht="32.25" hidden="1" x14ac:dyDescent="0.25">
      <c r="B15" s="18" t="s">
        <v>64</v>
      </c>
      <c r="C15" s="18" t="s">
        <v>45</v>
      </c>
      <c r="D15" s="25">
        <v>9.0340000000000004E-3</v>
      </c>
      <c r="E15" s="147" t="s">
        <v>22</v>
      </c>
      <c r="F15" s="21" t="s">
        <v>46</v>
      </c>
    </row>
    <row r="16" spans="2:20" ht="32.25" hidden="1" x14ac:dyDescent="0.25">
      <c r="B16" s="20" t="s">
        <v>65</v>
      </c>
      <c r="C16" s="20" t="s">
        <v>47</v>
      </c>
      <c r="D16" s="25">
        <v>1.3232000000000001E-2</v>
      </c>
      <c r="E16" s="147" t="s">
        <v>22</v>
      </c>
      <c r="F16" s="21" t="s">
        <v>48</v>
      </c>
    </row>
    <row r="17" spans="2:12" ht="29.25" hidden="1" x14ac:dyDescent="0.25">
      <c r="B17" s="103" t="s">
        <v>227</v>
      </c>
      <c r="C17" s="104" t="s">
        <v>225</v>
      </c>
      <c r="D17" s="105">
        <v>1.9E-2</v>
      </c>
      <c r="E17" s="149" t="s">
        <v>226</v>
      </c>
      <c r="F17" s="101"/>
    </row>
    <row r="18" spans="2:12" hidden="1" x14ac:dyDescent="0.25"/>
    <row r="19" spans="2:12" hidden="1" x14ac:dyDescent="0.25">
      <c r="B19" t="s">
        <v>51</v>
      </c>
      <c r="C19" s="4" t="s">
        <v>49</v>
      </c>
    </row>
    <row r="20" spans="2:12" hidden="1" x14ac:dyDescent="0.25">
      <c r="C20" s="74" t="s">
        <v>39</v>
      </c>
      <c r="D20" s="74"/>
      <c r="E20" s="150"/>
      <c r="F20" s="76" t="s">
        <v>50</v>
      </c>
      <c r="G20" s="75"/>
      <c r="H20" s="75"/>
      <c r="I20" s="75"/>
      <c r="J20" s="75"/>
      <c r="K20" s="75"/>
      <c r="L20" s="75"/>
    </row>
    <row r="21" spans="2:12" hidden="1" x14ac:dyDescent="0.25">
      <c r="C21" s="74" t="s">
        <v>52</v>
      </c>
      <c r="E21" s="150"/>
      <c r="F21" s="75"/>
      <c r="G21" s="75"/>
      <c r="H21" s="75"/>
      <c r="I21" s="75"/>
      <c r="J21" s="75"/>
      <c r="K21" s="76" t="s">
        <v>53</v>
      </c>
      <c r="L21" s="75"/>
    </row>
    <row r="22" spans="2:12" hidden="1" x14ac:dyDescent="0.25"/>
    <row r="23" spans="2:12" ht="46.15" hidden="1" customHeight="1" x14ac:dyDescent="0.25">
      <c r="B23" s="339" t="s">
        <v>141</v>
      </c>
      <c r="C23" s="339"/>
      <c r="D23" s="10" t="s">
        <v>14</v>
      </c>
      <c r="E23" s="151" t="s">
        <v>124</v>
      </c>
    </row>
    <row r="24" spans="2:12" hidden="1" x14ac:dyDescent="0.25"/>
    <row r="25" spans="2:12" ht="30.75" hidden="1" thickBot="1" x14ac:dyDescent="0.3">
      <c r="B25" s="42" t="s">
        <v>142</v>
      </c>
      <c r="C25" s="53" t="s">
        <v>130</v>
      </c>
      <c r="D25" s="53" t="s">
        <v>129</v>
      </c>
      <c r="E25" s="66" t="s">
        <v>127</v>
      </c>
      <c r="F25" s="66" t="s">
        <v>128</v>
      </c>
      <c r="G25" s="53" t="s">
        <v>218</v>
      </c>
    </row>
    <row r="26" spans="2:12" ht="30.75" hidden="1" thickTop="1" x14ac:dyDescent="0.25">
      <c r="B26" t="s">
        <v>101</v>
      </c>
      <c r="C26" t="s">
        <v>131</v>
      </c>
      <c r="D26" s="1" t="s">
        <v>132</v>
      </c>
      <c r="E26" s="1">
        <v>42700</v>
      </c>
      <c r="F26" s="7">
        <v>0.87439999999999996</v>
      </c>
      <c r="G26" s="8">
        <v>3.206</v>
      </c>
    </row>
    <row r="27" spans="2:12" ht="30" hidden="1" x14ac:dyDescent="0.25">
      <c r="B27" t="s">
        <v>209</v>
      </c>
      <c r="C27" t="s">
        <v>133</v>
      </c>
      <c r="D27" s="1" t="s">
        <v>134</v>
      </c>
      <c r="E27" s="1">
        <v>41200</v>
      </c>
      <c r="F27" s="7">
        <v>0.85940000000000005</v>
      </c>
      <c r="G27" s="8">
        <v>3.1509999999999998</v>
      </c>
    </row>
    <row r="28" spans="2:12" ht="30" hidden="1" x14ac:dyDescent="0.25">
      <c r="B28" t="s">
        <v>210</v>
      </c>
      <c r="C28" s="1" t="s">
        <v>135</v>
      </c>
      <c r="D28" s="1" t="s">
        <v>136</v>
      </c>
      <c r="E28" s="1">
        <v>40200</v>
      </c>
      <c r="F28" s="7">
        <v>0.84930000000000005</v>
      </c>
      <c r="G28" s="8">
        <v>3.1139999999999999</v>
      </c>
    </row>
    <row r="29" spans="2:12" ht="30" hidden="1" x14ac:dyDescent="0.25">
      <c r="B29" t="s">
        <v>211</v>
      </c>
      <c r="C29" s="1" t="s">
        <v>137</v>
      </c>
      <c r="D29" t="s">
        <v>125</v>
      </c>
      <c r="E29" s="1">
        <v>46300</v>
      </c>
      <c r="F29" s="7">
        <v>0.81820000000000004</v>
      </c>
      <c r="G29" s="8">
        <v>3</v>
      </c>
    </row>
    <row r="30" spans="2:12" ht="30" hidden="1" x14ac:dyDescent="0.25">
      <c r="B30" t="s">
        <v>212</v>
      </c>
      <c r="C30" s="1" t="s">
        <v>137</v>
      </c>
      <c r="D30" t="s">
        <v>126</v>
      </c>
      <c r="E30" s="1">
        <v>45700</v>
      </c>
      <c r="F30" s="7">
        <v>0.82640000000000002</v>
      </c>
      <c r="G30" s="8">
        <v>3.03</v>
      </c>
    </row>
    <row r="31" spans="2:12" ht="30" hidden="1" x14ac:dyDescent="0.25">
      <c r="B31" t="s">
        <v>213</v>
      </c>
      <c r="C31" s="1" t="s">
        <v>137</v>
      </c>
      <c r="D31" t="s">
        <v>214</v>
      </c>
      <c r="E31" s="1">
        <f>AVERAGE(E29:E30)</f>
        <v>46000</v>
      </c>
      <c r="F31">
        <f>AVERAGE(F29:F30)</f>
        <v>0.82230000000000003</v>
      </c>
      <c r="G31">
        <f>AVERAGE(G29:G30)</f>
        <v>3.0149999999999997</v>
      </c>
    </row>
    <row r="32" spans="2:12" hidden="1" x14ac:dyDescent="0.25">
      <c r="B32" t="s">
        <v>215</v>
      </c>
      <c r="C32" t="s">
        <v>138</v>
      </c>
      <c r="E32" s="1">
        <v>48000</v>
      </c>
      <c r="F32" s="7">
        <v>0.75</v>
      </c>
      <c r="G32" s="8">
        <v>2.75</v>
      </c>
    </row>
    <row r="33" spans="2:7" hidden="1" x14ac:dyDescent="0.25">
      <c r="B33" t="s">
        <v>216</v>
      </c>
      <c r="C33" t="s">
        <v>139</v>
      </c>
      <c r="E33" s="1">
        <v>19900</v>
      </c>
      <c r="F33" s="7">
        <v>0.375</v>
      </c>
      <c r="G33" s="8">
        <v>1.375</v>
      </c>
    </row>
    <row r="34" spans="2:7" ht="15.75" hidden="1" thickBot="1" x14ac:dyDescent="0.3">
      <c r="B34" t="s">
        <v>217</v>
      </c>
      <c r="C34" s="14" t="s">
        <v>140</v>
      </c>
      <c r="D34" s="14"/>
      <c r="E34" s="152">
        <v>26800</v>
      </c>
      <c r="F34" s="50">
        <v>0.52170000000000005</v>
      </c>
      <c r="G34" s="14">
        <v>1.913</v>
      </c>
    </row>
    <row r="35" spans="2:7" ht="15.75" hidden="1" thickTop="1" x14ac:dyDescent="0.25"/>
    <row r="36" spans="2:7" hidden="1" x14ac:dyDescent="0.25"/>
    <row r="37" spans="2:7" hidden="1" x14ac:dyDescent="0.25">
      <c r="B37" t="s">
        <v>51</v>
      </c>
      <c r="C37" s="4" t="s">
        <v>49</v>
      </c>
    </row>
    <row r="38" spans="2:7" hidden="1" x14ac:dyDescent="0.25">
      <c r="B38" s="77" t="s">
        <v>143</v>
      </c>
      <c r="C38" s="78" t="s">
        <v>18</v>
      </c>
      <c r="D38" s="79" t="s">
        <v>19</v>
      </c>
      <c r="E38" s="153" t="s">
        <v>20</v>
      </c>
    </row>
    <row r="39" spans="2:7" hidden="1" x14ac:dyDescent="0.25">
      <c r="B39" s="69" t="s">
        <v>144</v>
      </c>
      <c r="C39" s="80">
        <v>7.6469635290929666E-4</v>
      </c>
      <c r="D39" s="81" t="s">
        <v>145</v>
      </c>
      <c r="E39" s="69" t="s">
        <v>146</v>
      </c>
    </row>
    <row r="40" spans="2:7" hidden="1" x14ac:dyDescent="0.25">
      <c r="B40" s="69" t="s">
        <v>147</v>
      </c>
      <c r="C40" s="80">
        <v>2.313367118044931E-4</v>
      </c>
      <c r="D40" s="22" t="s">
        <v>148</v>
      </c>
      <c r="E40" s="69" t="s">
        <v>149</v>
      </c>
    </row>
    <row r="41" spans="2:7" hidden="1" x14ac:dyDescent="0.25">
      <c r="B41" s="93" t="s">
        <v>150</v>
      </c>
      <c r="C41" s="80">
        <v>1.1417219598605924E-4</v>
      </c>
      <c r="D41" s="22" t="s">
        <v>148</v>
      </c>
      <c r="E41" s="69" t="s">
        <v>149</v>
      </c>
    </row>
    <row r="42" spans="2:7" ht="17.25" hidden="1" x14ac:dyDescent="0.25">
      <c r="B42" s="93" t="s">
        <v>151</v>
      </c>
      <c r="C42" s="80">
        <v>1.0789272520682596E-3</v>
      </c>
      <c r="D42" s="81" t="s">
        <v>152</v>
      </c>
      <c r="E42" s="69" t="s">
        <v>153</v>
      </c>
    </row>
    <row r="43" spans="2:7" hidden="1" x14ac:dyDescent="0.25">
      <c r="B43" s="69" t="s">
        <v>154</v>
      </c>
      <c r="C43" s="80">
        <v>0.26467002763344571</v>
      </c>
      <c r="D43" s="22" t="s">
        <v>148</v>
      </c>
      <c r="E43" s="69" t="s">
        <v>155</v>
      </c>
    </row>
    <row r="44" spans="2:7" hidden="1" x14ac:dyDescent="0.25">
      <c r="B44" s="69" t="s">
        <v>156</v>
      </c>
      <c r="C44" s="80">
        <v>2.6239092461771323</v>
      </c>
      <c r="D44" s="82" t="s">
        <v>90</v>
      </c>
      <c r="E44" s="69" t="s">
        <v>83</v>
      </c>
    </row>
    <row r="45" spans="2:7" hidden="1" x14ac:dyDescent="0.25">
      <c r="B45" s="69" t="s">
        <v>157</v>
      </c>
      <c r="C45" s="80">
        <v>3.1455790531179968</v>
      </c>
      <c r="D45" s="81" t="s">
        <v>145</v>
      </c>
      <c r="E45" s="69" t="s">
        <v>158</v>
      </c>
    </row>
    <row r="46" spans="2:7" hidden="1" x14ac:dyDescent="0.25">
      <c r="B46" s="69" t="s">
        <v>159</v>
      </c>
      <c r="C46" s="80">
        <v>0.26644904920528911</v>
      </c>
      <c r="D46" s="22" t="s">
        <v>148</v>
      </c>
      <c r="E46" s="69" t="s">
        <v>149</v>
      </c>
    </row>
    <row r="47" spans="2:7" hidden="1" x14ac:dyDescent="0.25">
      <c r="B47" s="69" t="s">
        <v>160</v>
      </c>
      <c r="C47" s="80">
        <v>2.3651070304148343</v>
      </c>
      <c r="D47" s="81" t="s">
        <v>145</v>
      </c>
      <c r="E47" s="69" t="s">
        <v>161</v>
      </c>
    </row>
    <row r="48" spans="2:7" hidden="1" x14ac:dyDescent="0.25">
      <c r="B48" s="69" t="s">
        <v>162</v>
      </c>
      <c r="C48" s="80">
        <v>0.34139475980326406</v>
      </c>
      <c r="D48" s="22" t="s">
        <v>148</v>
      </c>
      <c r="E48" s="69" t="s">
        <v>155</v>
      </c>
    </row>
    <row r="49" spans="2:5" hidden="1" x14ac:dyDescent="0.25">
      <c r="B49" s="29" t="s">
        <v>163</v>
      </c>
      <c r="C49" s="80">
        <v>0.19903817219598607</v>
      </c>
      <c r="D49" s="22" t="s">
        <v>148</v>
      </c>
      <c r="E49" s="69" t="s">
        <v>149</v>
      </c>
    </row>
    <row r="50" spans="2:5" ht="17.25" hidden="1" x14ac:dyDescent="0.25">
      <c r="B50" s="69" t="s">
        <v>164</v>
      </c>
      <c r="C50" s="80">
        <v>1.8809107272520684</v>
      </c>
      <c r="D50" s="81" t="s">
        <v>152</v>
      </c>
      <c r="E50" s="69" t="s">
        <v>153</v>
      </c>
    </row>
    <row r="51" spans="2:5" hidden="1" x14ac:dyDescent="0.25">
      <c r="B51" s="29" t="s">
        <v>165</v>
      </c>
      <c r="C51" s="80">
        <v>0.18372013627470937</v>
      </c>
      <c r="D51" s="22" t="s">
        <v>148</v>
      </c>
      <c r="E51" s="69" t="s">
        <v>155</v>
      </c>
    </row>
    <row r="52" spans="2:5" hidden="1" x14ac:dyDescent="0.25">
      <c r="B52" s="29" t="s">
        <v>166</v>
      </c>
      <c r="C52" s="80">
        <v>0.36805733885156056</v>
      </c>
      <c r="D52" s="22" t="s">
        <v>148</v>
      </c>
      <c r="E52" s="69" t="s">
        <v>155</v>
      </c>
    </row>
    <row r="53" spans="2:5" hidden="1" x14ac:dyDescent="0.25">
      <c r="B53" s="29" t="s">
        <v>167</v>
      </c>
      <c r="C53" s="80">
        <v>0.59311620000000087</v>
      </c>
      <c r="D53" s="22" t="s">
        <v>148</v>
      </c>
      <c r="E53" s="69" t="s">
        <v>155</v>
      </c>
    </row>
    <row r="54" spans="2:5" hidden="1" x14ac:dyDescent="0.25">
      <c r="B54" s="29" t="s">
        <v>168</v>
      </c>
      <c r="C54" s="80">
        <v>0.63574082761523576</v>
      </c>
      <c r="D54" s="22" t="s">
        <v>148</v>
      </c>
      <c r="E54" s="69" t="s">
        <v>155</v>
      </c>
    </row>
    <row r="55" spans="2:5" hidden="1" x14ac:dyDescent="0.25">
      <c r="B55" s="29" t="s">
        <v>169</v>
      </c>
      <c r="C55" s="80">
        <v>0.25967825977945908</v>
      </c>
      <c r="D55" s="22" t="s">
        <v>148</v>
      </c>
      <c r="E55" s="69" t="s">
        <v>155</v>
      </c>
    </row>
    <row r="56" spans="2:5" hidden="1" x14ac:dyDescent="0.25">
      <c r="B56" s="29" t="s">
        <v>170</v>
      </c>
      <c r="C56" s="80">
        <v>0.26005794554928324</v>
      </c>
      <c r="D56" s="22" t="s">
        <v>148</v>
      </c>
      <c r="E56" s="69" t="s">
        <v>155</v>
      </c>
    </row>
    <row r="57" spans="2:5" hidden="1" x14ac:dyDescent="0.25">
      <c r="B57" s="29" t="s">
        <v>171</v>
      </c>
      <c r="C57" s="80">
        <v>0.23885220000000004</v>
      </c>
      <c r="D57" s="22" t="s">
        <v>148</v>
      </c>
      <c r="E57" s="69" t="s">
        <v>155</v>
      </c>
    </row>
    <row r="58" spans="2:5" hidden="1" x14ac:dyDescent="0.25">
      <c r="B58" s="29" t="s">
        <v>172</v>
      </c>
      <c r="C58" s="80">
        <v>0.24875220000000003</v>
      </c>
      <c r="D58" s="22" t="s">
        <v>148</v>
      </c>
      <c r="E58" s="69" t="s">
        <v>155</v>
      </c>
    </row>
    <row r="59" spans="2:5" hidden="1" x14ac:dyDescent="0.25">
      <c r="B59" s="29" t="s">
        <v>173</v>
      </c>
      <c r="C59" s="80">
        <v>0.25495620000000002</v>
      </c>
      <c r="D59" s="22" t="s">
        <v>148</v>
      </c>
      <c r="E59" s="69" t="s">
        <v>155</v>
      </c>
    </row>
    <row r="60" spans="2:5" hidden="1" x14ac:dyDescent="0.25">
      <c r="B60" s="69" t="s">
        <v>174</v>
      </c>
      <c r="C60" s="80">
        <v>3.1349630787699354</v>
      </c>
      <c r="D60" s="81" t="s">
        <v>145</v>
      </c>
      <c r="E60" s="69" t="s">
        <v>175</v>
      </c>
    </row>
    <row r="61" spans="2:5" hidden="1" x14ac:dyDescent="0.25">
      <c r="B61" s="69" t="s">
        <v>176</v>
      </c>
      <c r="C61" s="80">
        <v>0.26680536840595198</v>
      </c>
      <c r="D61" s="22" t="s">
        <v>148</v>
      </c>
      <c r="E61" s="69" t="s">
        <v>149</v>
      </c>
    </row>
    <row r="62" spans="2:5" hidden="1" x14ac:dyDescent="0.25">
      <c r="B62" s="69" t="s">
        <v>177</v>
      </c>
      <c r="C62" s="80">
        <v>3.0361222635781773</v>
      </c>
      <c r="D62" s="81" t="s">
        <v>145</v>
      </c>
      <c r="E62" s="69" t="s">
        <v>178</v>
      </c>
    </row>
    <row r="63" spans="2:5" hidden="1" x14ac:dyDescent="0.25">
      <c r="B63" s="69" t="s">
        <v>179</v>
      </c>
      <c r="C63" s="80">
        <v>0.27868536840595204</v>
      </c>
      <c r="D63" s="22" t="s">
        <v>148</v>
      </c>
      <c r="E63" s="69" t="s">
        <v>149</v>
      </c>
    </row>
    <row r="64" spans="2:5" hidden="1" x14ac:dyDescent="0.25">
      <c r="B64" s="94" t="s">
        <v>180</v>
      </c>
      <c r="C64" s="80">
        <v>0</v>
      </c>
      <c r="D64" s="22" t="s">
        <v>148</v>
      </c>
      <c r="E64" s="29" t="s">
        <v>88</v>
      </c>
    </row>
    <row r="65" spans="2:5" hidden="1" x14ac:dyDescent="0.25">
      <c r="B65" s="69" t="s">
        <v>181</v>
      </c>
      <c r="C65" s="80">
        <v>3.044513103597454</v>
      </c>
      <c r="D65" s="81" t="s">
        <v>145</v>
      </c>
      <c r="E65" s="69" t="s">
        <v>182</v>
      </c>
    </row>
    <row r="66" spans="2:5" hidden="1" x14ac:dyDescent="0.25">
      <c r="B66" s="69" t="s">
        <v>183</v>
      </c>
      <c r="C66" s="80">
        <v>0.27927042687027553</v>
      </c>
      <c r="D66" s="22" t="s">
        <v>148</v>
      </c>
      <c r="E66" s="69" t="s">
        <v>149</v>
      </c>
    </row>
    <row r="67" spans="2:5" hidden="1" x14ac:dyDescent="0.25">
      <c r="B67" s="94" t="s">
        <v>184</v>
      </c>
      <c r="C67" s="80">
        <v>0</v>
      </c>
      <c r="D67" s="22" t="s">
        <v>148</v>
      </c>
      <c r="E67" s="69" t="s">
        <v>185</v>
      </c>
    </row>
    <row r="68" spans="2:5" hidden="1" x14ac:dyDescent="0.25">
      <c r="B68" s="29" t="s">
        <v>186</v>
      </c>
      <c r="C68" s="80">
        <v>1.5629008933006141</v>
      </c>
      <c r="D68" s="81" t="s">
        <v>145</v>
      </c>
      <c r="E68" s="69" t="s">
        <v>187</v>
      </c>
    </row>
    <row r="69" spans="2:5" hidden="1" x14ac:dyDescent="0.25">
      <c r="B69" s="29" t="s">
        <v>188</v>
      </c>
      <c r="C69" s="80">
        <v>0.35165270099263829</v>
      </c>
      <c r="D69" s="22" t="s">
        <v>148</v>
      </c>
      <c r="E69" s="69" t="s">
        <v>149</v>
      </c>
    </row>
    <row r="70" spans="2:5" hidden="1" x14ac:dyDescent="0.25">
      <c r="B70" s="94" t="s">
        <v>189</v>
      </c>
      <c r="C70" s="80">
        <v>0</v>
      </c>
      <c r="D70" s="22" t="s">
        <v>148</v>
      </c>
      <c r="E70" s="29" t="s">
        <v>88</v>
      </c>
    </row>
    <row r="71" spans="2:5" hidden="1" x14ac:dyDescent="0.25">
      <c r="B71" s="29" t="s">
        <v>190</v>
      </c>
      <c r="C71" s="80">
        <v>0</v>
      </c>
      <c r="D71" s="22" t="s">
        <v>148</v>
      </c>
      <c r="E71" s="69" t="s">
        <v>191</v>
      </c>
    </row>
    <row r="72" spans="2:5" hidden="1" x14ac:dyDescent="0.25">
      <c r="B72" s="29" t="s">
        <v>192</v>
      </c>
      <c r="C72" s="80">
        <v>0.36973670099263828</v>
      </c>
      <c r="D72" s="22" t="s">
        <v>148</v>
      </c>
      <c r="E72" s="69" t="s">
        <v>149</v>
      </c>
    </row>
    <row r="73" spans="2:5" hidden="1" x14ac:dyDescent="0.25">
      <c r="B73" s="29" t="s">
        <v>193</v>
      </c>
      <c r="C73" s="80">
        <v>0.19903817219598607</v>
      </c>
      <c r="D73" s="22" t="s">
        <v>148</v>
      </c>
      <c r="E73" s="69" t="s">
        <v>149</v>
      </c>
    </row>
    <row r="74" spans="2:5" hidden="1" x14ac:dyDescent="0.25">
      <c r="B74" s="29" t="s">
        <v>194</v>
      </c>
      <c r="C74" s="80">
        <v>0.2286748953871344</v>
      </c>
      <c r="D74" s="22" t="s">
        <v>148</v>
      </c>
      <c r="E74" s="69" t="s">
        <v>155</v>
      </c>
    </row>
    <row r="75" spans="2:5" hidden="1" x14ac:dyDescent="0.25">
      <c r="B75" s="83"/>
      <c r="C75" s="84"/>
      <c r="D75" s="84"/>
      <c r="E75" s="154"/>
    </row>
    <row r="76" spans="2:5" hidden="1" x14ac:dyDescent="0.25">
      <c r="B76" s="359" t="s">
        <v>195</v>
      </c>
      <c r="C76" s="361" t="s">
        <v>196</v>
      </c>
      <c r="D76" s="363" t="s">
        <v>19</v>
      </c>
      <c r="E76" s="365" t="s">
        <v>20</v>
      </c>
    </row>
    <row r="77" spans="2:5" hidden="1" x14ac:dyDescent="0.25">
      <c r="B77" s="360"/>
      <c r="C77" s="362"/>
      <c r="D77" s="364"/>
      <c r="E77" s="366"/>
    </row>
    <row r="78" spans="2:5" ht="17.25" hidden="1" x14ac:dyDescent="0.3">
      <c r="B78" s="29" t="s">
        <v>144</v>
      </c>
      <c r="C78" s="23">
        <v>1.3328</v>
      </c>
      <c r="D78" s="85" t="s">
        <v>197</v>
      </c>
      <c r="E78" s="69" t="s">
        <v>198</v>
      </c>
    </row>
    <row r="79" spans="2:5" ht="17.25" hidden="1" x14ac:dyDescent="0.3">
      <c r="B79" s="29" t="s">
        <v>147</v>
      </c>
      <c r="C79" s="23">
        <v>0.4032</v>
      </c>
      <c r="D79" s="85" t="s">
        <v>199</v>
      </c>
      <c r="E79" s="69" t="s">
        <v>155</v>
      </c>
    </row>
    <row r="80" spans="2:5" ht="17.25" hidden="1" x14ac:dyDescent="0.3">
      <c r="B80" s="29" t="s">
        <v>150</v>
      </c>
      <c r="C80" s="23">
        <v>0.19654799999999997</v>
      </c>
      <c r="D80" s="85" t="s">
        <v>199</v>
      </c>
      <c r="E80" s="69" t="s">
        <v>155</v>
      </c>
    </row>
    <row r="81" spans="2:8" ht="18" hidden="1" x14ac:dyDescent="0.3">
      <c r="B81" s="29" t="s">
        <v>151</v>
      </c>
      <c r="C81" s="23">
        <v>1.8573785999999997</v>
      </c>
      <c r="D81" s="85" t="s">
        <v>200</v>
      </c>
      <c r="E81" s="69" t="s">
        <v>201</v>
      </c>
    </row>
    <row r="82" spans="2:8" hidden="1" x14ac:dyDescent="0.25">
      <c r="B82" s="83"/>
      <c r="C82" s="86"/>
      <c r="D82" s="87"/>
      <c r="E82" s="155"/>
    </row>
    <row r="83" spans="2:8" hidden="1" x14ac:dyDescent="0.25">
      <c r="B83" s="88" t="s">
        <v>202</v>
      </c>
      <c r="C83" s="89"/>
      <c r="D83" s="89"/>
      <c r="E83" s="156"/>
    </row>
    <row r="84" spans="2:8" hidden="1" x14ac:dyDescent="0.25">
      <c r="B84" s="17" t="s">
        <v>203</v>
      </c>
      <c r="C84" s="90" t="s">
        <v>18</v>
      </c>
      <c r="D84" s="91" t="s">
        <v>19</v>
      </c>
      <c r="E84" s="146" t="s">
        <v>20</v>
      </c>
    </row>
    <row r="85" spans="2:8" ht="29.25" hidden="1" x14ac:dyDescent="0.25">
      <c r="B85" s="94" t="s">
        <v>204</v>
      </c>
      <c r="C85" s="95">
        <v>2.313367118044931E-4</v>
      </c>
      <c r="D85" s="96" t="s">
        <v>219</v>
      </c>
      <c r="E85" s="92" t="s">
        <v>205</v>
      </c>
    </row>
    <row r="86" spans="2:8" ht="30" hidden="1" x14ac:dyDescent="0.3">
      <c r="B86" s="97" t="s">
        <v>206</v>
      </c>
      <c r="C86" s="98">
        <v>0</v>
      </c>
      <c r="D86" s="99" t="s">
        <v>220</v>
      </c>
      <c r="E86" s="92" t="s">
        <v>88</v>
      </c>
    </row>
    <row r="87" spans="2:8" ht="58.5" hidden="1" x14ac:dyDescent="0.3">
      <c r="B87" s="94" t="s">
        <v>207</v>
      </c>
      <c r="C87" s="98">
        <v>0.71518000000000004</v>
      </c>
      <c r="D87" s="99" t="s">
        <v>221</v>
      </c>
      <c r="E87" s="92" t="s">
        <v>208</v>
      </c>
    </row>
    <row r="88" spans="2:8" hidden="1" x14ac:dyDescent="0.25"/>
    <row r="89" spans="2:8" hidden="1" x14ac:dyDescent="0.25">
      <c r="B89" s="35" t="s">
        <v>70</v>
      </c>
      <c r="C89" s="38"/>
      <c r="D89" s="37"/>
      <c r="E89" s="157"/>
      <c r="F89" s="39"/>
      <c r="G89" s="39"/>
      <c r="H89" s="72"/>
    </row>
    <row r="90" spans="2:8" hidden="1" x14ac:dyDescent="0.25">
      <c r="B90" s="67" t="s">
        <v>71</v>
      </c>
      <c r="C90" s="36" t="s">
        <v>18</v>
      </c>
      <c r="D90" s="71" t="s">
        <v>19</v>
      </c>
      <c r="E90" s="158" t="s">
        <v>72</v>
      </c>
      <c r="F90" s="67" t="s">
        <v>19</v>
      </c>
      <c r="G90" s="67" t="s">
        <v>20</v>
      </c>
      <c r="H90" s="67" t="s">
        <v>73</v>
      </c>
    </row>
    <row r="91" spans="2:8" hidden="1" x14ac:dyDescent="0.25">
      <c r="B91" s="44" t="s">
        <v>74</v>
      </c>
      <c r="C91" s="73">
        <v>2.2550902750685609</v>
      </c>
      <c r="D91" s="70" t="s">
        <v>75</v>
      </c>
      <c r="E91" s="159">
        <v>31.82</v>
      </c>
      <c r="F91" s="44" t="s">
        <v>69</v>
      </c>
      <c r="G91" s="44" t="s">
        <v>76</v>
      </c>
      <c r="H91" s="13" t="s">
        <v>77</v>
      </c>
    </row>
    <row r="92" spans="2:8" hidden="1" x14ac:dyDescent="0.25">
      <c r="B92" s="44" t="s">
        <v>78</v>
      </c>
      <c r="C92" s="73">
        <v>2.061690076761457E-2</v>
      </c>
      <c r="D92" s="40" t="s">
        <v>79</v>
      </c>
      <c r="E92" s="160">
        <v>49</v>
      </c>
      <c r="F92" s="44" t="s">
        <v>68</v>
      </c>
      <c r="G92" s="44" t="s">
        <v>80</v>
      </c>
      <c r="H92" s="13" t="s">
        <v>77</v>
      </c>
    </row>
    <row r="93" spans="2:8" hidden="1" x14ac:dyDescent="0.25">
      <c r="B93" s="44" t="s">
        <v>81</v>
      </c>
      <c r="C93" s="73">
        <v>2.728193567434281</v>
      </c>
      <c r="D93" s="40" t="s">
        <v>79</v>
      </c>
      <c r="E93" s="160">
        <v>49</v>
      </c>
      <c r="F93" s="44" t="s">
        <v>68</v>
      </c>
      <c r="G93" s="44" t="s">
        <v>80</v>
      </c>
      <c r="H93" s="13" t="s">
        <v>77</v>
      </c>
    </row>
    <row r="94" spans="2:8" hidden="1" x14ac:dyDescent="0.25">
      <c r="B94" s="44" t="s">
        <v>82</v>
      </c>
      <c r="C94" s="73">
        <v>2.6481957657391515</v>
      </c>
      <c r="D94" s="70" t="s">
        <v>75</v>
      </c>
      <c r="E94" s="159">
        <v>35.69</v>
      </c>
      <c r="F94" s="44" t="s">
        <v>69</v>
      </c>
      <c r="G94" s="44" t="s">
        <v>83</v>
      </c>
      <c r="H94" s="13" t="s">
        <v>77</v>
      </c>
    </row>
    <row r="95" spans="2:8" hidden="1" x14ac:dyDescent="0.25">
      <c r="B95" s="44" t="s">
        <v>84</v>
      </c>
      <c r="C95" s="73">
        <v>2.9144806484743908</v>
      </c>
      <c r="D95" s="40" t="s">
        <v>79</v>
      </c>
      <c r="E95" s="160">
        <v>45.5</v>
      </c>
      <c r="F95" s="44" t="s">
        <v>68</v>
      </c>
      <c r="G95" s="44" t="s">
        <v>85</v>
      </c>
      <c r="H95" s="13" t="s">
        <v>77</v>
      </c>
    </row>
    <row r="96" spans="2:8" ht="17.25" hidden="1" x14ac:dyDescent="0.3">
      <c r="B96" s="44" t="s">
        <v>86</v>
      </c>
      <c r="C96" s="73">
        <v>0</v>
      </c>
      <c r="D96" s="45" t="s">
        <v>87</v>
      </c>
      <c r="E96" s="161">
        <f>1*0.0036*1000000</f>
        <v>3600</v>
      </c>
      <c r="F96" s="73" t="s">
        <v>67</v>
      </c>
      <c r="G96" s="44" t="s">
        <v>88</v>
      </c>
      <c r="H96" s="13" t="s">
        <v>77</v>
      </c>
    </row>
    <row r="97" spans="2:8" hidden="1" x14ac:dyDescent="0.25">
      <c r="B97" s="57" t="s">
        <v>89</v>
      </c>
      <c r="C97" s="55">
        <f>[1]Eriheited!F91</f>
        <v>55.644728020761853</v>
      </c>
      <c r="D97" s="54" t="s">
        <v>91</v>
      </c>
      <c r="E97" s="159">
        <v>35.69</v>
      </c>
      <c r="F97" s="44" t="s">
        <v>69</v>
      </c>
      <c r="G97" s="62" t="s">
        <v>83</v>
      </c>
      <c r="H97" s="13" t="s">
        <v>77</v>
      </c>
    </row>
    <row r="98" spans="2:8" ht="28.5" hidden="1" x14ac:dyDescent="0.25">
      <c r="B98" s="100" t="s">
        <v>225</v>
      </c>
      <c r="C98" s="102">
        <v>1.9E-2</v>
      </c>
      <c r="D98" s="69" t="s">
        <v>226</v>
      </c>
      <c r="E98" s="162"/>
      <c r="F98" s="101"/>
    </row>
    <row r="100" spans="2:8" x14ac:dyDescent="0.25">
      <c r="B100" s="3" t="s">
        <v>639</v>
      </c>
    </row>
    <row r="101" spans="2:8" x14ac:dyDescent="0.25">
      <c r="B101" t="s">
        <v>269</v>
      </c>
      <c r="C101" s="4" t="s">
        <v>228</v>
      </c>
    </row>
    <row r="102" spans="2:8" x14ac:dyDescent="0.25">
      <c r="B102" t="s">
        <v>504</v>
      </c>
    </row>
    <row r="119" spans="2:33" x14ac:dyDescent="0.25">
      <c r="B119" t="s">
        <v>271</v>
      </c>
    </row>
    <row r="120" spans="2:33" ht="15.75" thickBot="1" x14ac:dyDescent="0.3">
      <c r="B120" s="176">
        <v>1</v>
      </c>
      <c r="C120" s="176"/>
      <c r="D120" s="176"/>
      <c r="E120" s="176">
        <v>2</v>
      </c>
      <c r="F120" s="176">
        <v>3</v>
      </c>
      <c r="G120" s="176">
        <v>4</v>
      </c>
      <c r="H120" s="176">
        <v>5</v>
      </c>
      <c r="I120" s="176">
        <v>6</v>
      </c>
      <c r="J120" s="176">
        <v>7</v>
      </c>
      <c r="K120" s="176">
        <v>8</v>
      </c>
      <c r="L120" s="176">
        <v>9</v>
      </c>
      <c r="M120" s="177"/>
      <c r="R120" t="s">
        <v>494</v>
      </c>
    </row>
    <row r="121" spans="2:33" ht="45.75" thickBot="1" x14ac:dyDescent="0.3">
      <c r="B121" s="171"/>
      <c r="C121" s="171"/>
      <c r="D121" s="197"/>
      <c r="E121" s="171"/>
      <c r="F121" s="171"/>
      <c r="G121" s="176" t="s">
        <v>239</v>
      </c>
      <c r="H121" s="171"/>
      <c r="I121" s="357" t="s">
        <v>240</v>
      </c>
      <c r="J121" s="357"/>
      <c r="K121" s="357"/>
      <c r="L121" s="171"/>
      <c r="M121" s="178" t="s">
        <v>499</v>
      </c>
      <c r="N121" s="176" t="s">
        <v>239</v>
      </c>
      <c r="O121" s="168"/>
      <c r="P121" s="168"/>
      <c r="R121" t="s">
        <v>495</v>
      </c>
    </row>
    <row r="122" spans="2:33" ht="38.25" x14ac:dyDescent="0.25">
      <c r="B122" s="357" t="s">
        <v>241</v>
      </c>
      <c r="C122" s="340" t="s">
        <v>503</v>
      </c>
      <c r="D122" s="199"/>
      <c r="E122" s="358" t="s">
        <v>242</v>
      </c>
      <c r="F122" s="179" t="s">
        <v>252</v>
      </c>
      <c r="G122" s="179" t="s">
        <v>392</v>
      </c>
      <c r="H122" s="357" t="s">
        <v>243</v>
      </c>
      <c r="I122" s="180" t="s">
        <v>249</v>
      </c>
      <c r="J122" s="180" t="s">
        <v>244</v>
      </c>
      <c r="K122" s="180" t="s">
        <v>245</v>
      </c>
      <c r="L122" s="176" t="s">
        <v>246</v>
      </c>
      <c r="M122" s="180" t="s">
        <v>321</v>
      </c>
      <c r="N122" s="179" t="s">
        <v>392</v>
      </c>
      <c r="O122" s="110" t="s">
        <v>496</v>
      </c>
      <c r="P122" s="110" t="s">
        <v>497</v>
      </c>
      <c r="Q122" s="110" t="s">
        <v>498</v>
      </c>
      <c r="R122" s="338" t="s">
        <v>534</v>
      </c>
      <c r="S122" s="339"/>
      <c r="T122" s="339"/>
      <c r="U122" s="339"/>
      <c r="V122" s="339"/>
      <c r="W122" s="339"/>
      <c r="X122" s="339"/>
      <c r="Y122" s="339"/>
      <c r="Z122" s="339"/>
      <c r="AA122" s="339"/>
      <c r="AB122" s="339"/>
      <c r="AC122" s="339"/>
      <c r="AD122" s="339"/>
      <c r="AE122" s="339"/>
      <c r="AF122" s="339"/>
      <c r="AG122" s="339"/>
    </row>
    <row r="123" spans="2:33" ht="28.5" x14ac:dyDescent="0.25">
      <c r="B123" s="357"/>
      <c r="C123" s="340"/>
      <c r="D123" s="200" t="s">
        <v>560</v>
      </c>
      <c r="E123" s="358"/>
      <c r="F123" s="181" t="s">
        <v>248</v>
      </c>
      <c r="G123" s="182" t="s">
        <v>323</v>
      </c>
      <c r="H123" s="357"/>
      <c r="I123" s="183" t="s">
        <v>324</v>
      </c>
      <c r="J123" s="183" t="s">
        <v>250</v>
      </c>
      <c r="K123" s="183" t="s">
        <v>251</v>
      </c>
      <c r="L123" s="176" t="s">
        <v>247</v>
      </c>
      <c r="M123" s="184" t="s">
        <v>322</v>
      </c>
      <c r="N123" s="184" t="s">
        <v>322</v>
      </c>
      <c r="R123" s="339"/>
      <c r="S123" s="339"/>
      <c r="T123" s="339"/>
      <c r="U123" s="339"/>
      <c r="V123" s="339"/>
      <c r="W123" s="339"/>
      <c r="X123" s="339"/>
      <c r="Y123" s="339"/>
      <c r="Z123" s="339"/>
      <c r="AA123" s="339"/>
      <c r="AB123" s="339"/>
      <c r="AC123" s="339"/>
      <c r="AD123" s="339"/>
      <c r="AE123" s="339"/>
      <c r="AF123" s="339"/>
      <c r="AG123" s="339"/>
    </row>
    <row r="124" spans="2:33" ht="51" x14ac:dyDescent="0.25">
      <c r="B124" s="190" t="s">
        <v>524</v>
      </c>
      <c r="C124" s="112" t="s">
        <v>505</v>
      </c>
      <c r="D124" s="198" t="s">
        <v>210</v>
      </c>
      <c r="E124" s="112" t="s">
        <v>283</v>
      </c>
      <c r="F124" s="112">
        <v>4.0500000000000001E-2</v>
      </c>
      <c r="G124" s="112">
        <v>13.5</v>
      </c>
      <c r="H124" s="112" t="s">
        <v>273</v>
      </c>
      <c r="I124" s="112">
        <v>3.1139999999999999</v>
      </c>
      <c r="J124" s="113">
        <v>5.0000000000000002E-5</v>
      </c>
      <c r="K124" s="112">
        <v>1.8000000000000001E-4</v>
      </c>
      <c r="L124" s="112" t="s">
        <v>11</v>
      </c>
      <c r="M124" s="115">
        <f>I124*1+J124*25+K124*298</f>
        <v>3.1688900000000002</v>
      </c>
      <c r="N124" s="204">
        <f>G124*F124</f>
        <v>0.54675000000000007</v>
      </c>
      <c r="O124" s="169">
        <f>MAX(J124:J131)</f>
        <v>5.0000000000000002E-5</v>
      </c>
      <c r="P124" s="169">
        <f>MAX(K124:K131)</f>
        <v>1.8000000000000001E-4</v>
      </c>
      <c r="Q124" s="169">
        <f>MAX(L124:L131)</f>
        <v>3.1</v>
      </c>
      <c r="R124" s="339"/>
      <c r="S124" s="339"/>
      <c r="T124" s="339"/>
      <c r="U124" s="339"/>
      <c r="V124" s="339"/>
      <c r="W124" s="339"/>
      <c r="X124" s="339"/>
      <c r="Y124" s="339"/>
      <c r="Z124" s="339"/>
      <c r="AA124" s="339"/>
      <c r="AB124" s="339"/>
      <c r="AC124" s="339"/>
      <c r="AD124" s="339"/>
      <c r="AE124" s="339"/>
      <c r="AF124" s="339"/>
      <c r="AG124" s="339"/>
    </row>
    <row r="125" spans="2:33" ht="51" x14ac:dyDescent="0.25">
      <c r="B125" s="190" t="s">
        <v>524</v>
      </c>
      <c r="C125" s="112" t="s">
        <v>505</v>
      </c>
      <c r="D125" s="111" t="s">
        <v>209</v>
      </c>
      <c r="E125" s="112" t="s">
        <v>284</v>
      </c>
      <c r="F125" s="112">
        <v>4.1000000000000002E-2</v>
      </c>
      <c r="G125" s="112">
        <v>13.2</v>
      </c>
      <c r="H125" s="112" t="s">
        <v>273</v>
      </c>
      <c r="I125" s="112">
        <v>3.1509999999999998</v>
      </c>
      <c r="J125" s="113">
        <v>5.0000000000000002E-5</v>
      </c>
      <c r="K125" s="112">
        <v>1.8000000000000001E-4</v>
      </c>
      <c r="L125" s="112" t="s">
        <v>11</v>
      </c>
      <c r="M125" s="115">
        <f t="shared" ref="M125:M127" si="0">I125*1+J125*25+K125*298</f>
        <v>3.2058900000000001</v>
      </c>
      <c r="N125" s="204">
        <f t="shared" ref="N125:N164" si="1">G125*F125</f>
        <v>0.54120000000000001</v>
      </c>
      <c r="R125" s="339"/>
      <c r="S125" s="339"/>
      <c r="T125" s="339"/>
      <c r="U125" s="339"/>
      <c r="V125" s="339"/>
      <c r="W125" s="339"/>
      <c r="X125" s="339"/>
      <c r="Y125" s="339"/>
      <c r="Z125" s="339"/>
      <c r="AA125" s="339"/>
      <c r="AB125" s="339"/>
      <c r="AC125" s="339"/>
      <c r="AD125" s="339"/>
      <c r="AE125" s="339"/>
      <c r="AF125" s="339"/>
      <c r="AG125" s="339"/>
    </row>
    <row r="126" spans="2:33" ht="51" x14ac:dyDescent="0.25">
      <c r="B126" s="190" t="s">
        <v>524</v>
      </c>
      <c r="C126" s="112" t="s">
        <v>505</v>
      </c>
      <c r="D126" s="111" t="s">
        <v>260</v>
      </c>
      <c r="E126" s="112" t="s">
        <v>261</v>
      </c>
      <c r="F126" s="112">
        <v>4.2700000000000002E-2</v>
      </c>
      <c r="G126" s="112">
        <v>14.4</v>
      </c>
      <c r="H126" s="112" t="s">
        <v>273</v>
      </c>
      <c r="I126" s="112">
        <v>3.206</v>
      </c>
      <c r="J126" s="112">
        <v>5.0000000000000002E-5</v>
      </c>
      <c r="K126" s="112">
        <v>1.8000000000000001E-4</v>
      </c>
      <c r="L126" s="112" t="s">
        <v>11</v>
      </c>
      <c r="M126" s="115">
        <f t="shared" si="0"/>
        <v>3.2608900000000003</v>
      </c>
      <c r="N126" s="204">
        <f t="shared" si="1"/>
        <v>0.61488000000000009</v>
      </c>
      <c r="R126" s="339"/>
      <c r="S126" s="339"/>
      <c r="T126" s="339"/>
      <c r="U126" s="339"/>
      <c r="V126" s="339"/>
      <c r="W126" s="339"/>
      <c r="X126" s="339"/>
      <c r="Y126" s="339"/>
      <c r="Z126" s="339"/>
      <c r="AA126" s="339"/>
      <c r="AB126" s="339"/>
      <c r="AC126" s="339"/>
      <c r="AD126" s="339"/>
      <c r="AE126" s="339"/>
      <c r="AF126" s="339"/>
      <c r="AG126" s="339"/>
    </row>
    <row r="127" spans="2:33" ht="51" x14ac:dyDescent="0.25">
      <c r="B127" s="190" t="s">
        <v>524</v>
      </c>
      <c r="C127" s="112" t="s">
        <v>505</v>
      </c>
      <c r="D127" s="111" t="s">
        <v>262</v>
      </c>
      <c r="E127" s="112" t="s">
        <v>285</v>
      </c>
      <c r="F127" s="112">
        <v>4.2700000000000002E-2</v>
      </c>
      <c r="G127" s="112">
        <v>14.4</v>
      </c>
      <c r="H127" s="112" t="s">
        <v>273</v>
      </c>
      <c r="I127" s="112">
        <v>3.206</v>
      </c>
      <c r="J127" s="112">
        <v>5.0000000000000002E-5</v>
      </c>
      <c r="K127" s="112">
        <v>1.8000000000000001E-4</v>
      </c>
      <c r="L127" s="112" t="s">
        <v>11</v>
      </c>
      <c r="M127" s="115">
        <f t="shared" si="0"/>
        <v>3.2608900000000003</v>
      </c>
      <c r="N127" s="204">
        <f t="shared" si="1"/>
        <v>0.61488000000000009</v>
      </c>
      <c r="R127" s="339"/>
      <c r="S127" s="339"/>
      <c r="T127" s="339"/>
      <c r="U127" s="339"/>
      <c r="V127" s="339"/>
      <c r="W127" s="339"/>
      <c r="X127" s="339"/>
      <c r="Y127" s="339"/>
      <c r="Z127" s="339"/>
      <c r="AA127" s="339"/>
      <c r="AB127" s="339"/>
      <c r="AC127" s="339"/>
      <c r="AD127" s="339"/>
      <c r="AE127" s="339"/>
      <c r="AF127" s="339"/>
      <c r="AG127" s="339"/>
    </row>
    <row r="128" spans="2:33" ht="76.5" x14ac:dyDescent="0.25">
      <c r="B128" s="190" t="s">
        <v>524</v>
      </c>
      <c r="C128" s="112" t="s">
        <v>505</v>
      </c>
      <c r="D128" s="111" t="s">
        <v>294</v>
      </c>
      <c r="E128" s="64"/>
      <c r="F128" s="112">
        <v>4.9099999999999998E-2</v>
      </c>
      <c r="G128" s="112">
        <v>18.5</v>
      </c>
      <c r="H128" s="113" t="s">
        <v>288</v>
      </c>
      <c r="I128" s="112">
        <v>2.75</v>
      </c>
      <c r="J128" s="112">
        <v>0</v>
      </c>
      <c r="K128" s="112">
        <v>1.1E-4</v>
      </c>
      <c r="L128" s="112">
        <v>3.1</v>
      </c>
      <c r="M128" s="115">
        <f>(1-L128/100)*(I128*1+J128*25+K128*298)+(L128/100)*25</f>
        <v>3.4715138199999998</v>
      </c>
      <c r="N128" s="204">
        <f t="shared" si="1"/>
        <v>0.90834999999999999</v>
      </c>
      <c r="R128" s="339"/>
      <c r="S128" s="339"/>
      <c r="T128" s="339"/>
      <c r="U128" s="339"/>
      <c r="V128" s="339"/>
      <c r="W128" s="339"/>
      <c r="X128" s="339"/>
      <c r="Y128" s="339"/>
      <c r="Z128" s="339"/>
      <c r="AA128" s="339"/>
      <c r="AB128" s="339"/>
      <c r="AC128" s="339"/>
      <c r="AD128" s="339"/>
      <c r="AE128" s="339"/>
      <c r="AF128" s="339"/>
      <c r="AG128" s="339"/>
    </row>
    <row r="129" spans="1:33" ht="63.75" x14ac:dyDescent="0.25">
      <c r="B129" s="190" t="s">
        <v>524</v>
      </c>
      <c r="C129" s="112" t="s">
        <v>505</v>
      </c>
      <c r="D129" s="111" t="s">
        <v>555</v>
      </c>
      <c r="E129" s="64"/>
      <c r="F129" s="112">
        <v>4.9099999999999998E-2</v>
      </c>
      <c r="G129" s="112">
        <v>18.5</v>
      </c>
      <c r="H129" s="113" t="s">
        <v>289</v>
      </c>
      <c r="I129" s="112">
        <v>2.75</v>
      </c>
      <c r="J129" s="112">
        <v>0</v>
      </c>
      <c r="K129" s="112">
        <v>1.1E-4</v>
      </c>
      <c r="L129" s="112">
        <v>1.7</v>
      </c>
      <c r="M129" s="115">
        <f>(1-L129/100)*(I129*1+J129*25+K129*298)+(L129/100)*25</f>
        <v>3.1604727399999994</v>
      </c>
      <c r="N129" s="204">
        <f t="shared" si="1"/>
        <v>0.90834999999999999</v>
      </c>
      <c r="R129" s="339"/>
      <c r="S129" s="339"/>
      <c r="T129" s="339"/>
      <c r="U129" s="339"/>
      <c r="V129" s="339"/>
      <c r="W129" s="339"/>
      <c r="X129" s="339"/>
      <c r="Y129" s="339"/>
      <c r="Z129" s="339"/>
      <c r="AA129" s="339"/>
      <c r="AB129" s="339"/>
      <c r="AC129" s="339"/>
      <c r="AD129" s="339"/>
      <c r="AE129" s="339"/>
      <c r="AF129" s="339"/>
      <c r="AG129" s="339"/>
    </row>
    <row r="130" spans="1:33" ht="63.75" x14ac:dyDescent="0.25">
      <c r="B130" s="190" t="s">
        <v>524</v>
      </c>
      <c r="C130" s="112" t="s">
        <v>505</v>
      </c>
      <c r="D130" s="111" t="s">
        <v>556</v>
      </c>
      <c r="E130" s="64"/>
      <c r="F130" s="112">
        <v>4.9099999999999998E-2</v>
      </c>
      <c r="G130" s="112">
        <v>18.5</v>
      </c>
      <c r="H130" s="171" t="s">
        <v>290</v>
      </c>
      <c r="I130" s="112">
        <v>2.75</v>
      </c>
      <c r="J130" s="112">
        <v>0</v>
      </c>
      <c r="K130" s="112">
        <v>1.1E-4</v>
      </c>
      <c r="L130" s="112">
        <v>0.2</v>
      </c>
      <c r="M130" s="115">
        <f>(1-L130/100)*(I130*1+J130*25+K130*298)+(L130/100)*25</f>
        <v>2.8272144399999997</v>
      </c>
      <c r="N130" s="204">
        <f t="shared" si="1"/>
        <v>0.90834999999999999</v>
      </c>
    </row>
    <row r="131" spans="1:33" ht="102" x14ac:dyDescent="0.25">
      <c r="B131" s="190" t="s">
        <v>524</v>
      </c>
      <c r="C131" s="112" t="s">
        <v>505</v>
      </c>
      <c r="D131" s="111" t="s">
        <v>295</v>
      </c>
      <c r="E131" s="64"/>
      <c r="F131" s="112">
        <v>4.9099999999999998E-2</v>
      </c>
      <c r="G131" s="112">
        <v>18.5</v>
      </c>
      <c r="H131" s="112" t="s">
        <v>291</v>
      </c>
      <c r="I131" s="112">
        <v>2.75</v>
      </c>
      <c r="J131" s="112">
        <v>0</v>
      </c>
      <c r="K131" s="112">
        <v>1.1E-4</v>
      </c>
      <c r="L131" s="112">
        <v>2.6</v>
      </c>
      <c r="M131" s="115">
        <f t="shared" ref="M131" si="2">(1-L131/100)*(I131*1+J131*25+K131*298)+(L131/100)*25</f>
        <v>3.3604277199999997</v>
      </c>
      <c r="N131" s="204">
        <f t="shared" si="1"/>
        <v>0.90834999999999999</v>
      </c>
    </row>
    <row r="132" spans="1:33" ht="51" x14ac:dyDescent="0.25">
      <c r="B132" s="190" t="s">
        <v>524</v>
      </c>
      <c r="C132" s="112" t="s">
        <v>505</v>
      </c>
      <c r="D132" s="111" t="s">
        <v>301</v>
      </c>
      <c r="E132" s="177"/>
      <c r="F132" s="112">
        <v>4.5999999999999999E-2</v>
      </c>
      <c r="G132" s="112">
        <v>7.8</v>
      </c>
      <c r="H132" s="112" t="s">
        <v>273</v>
      </c>
      <c r="I132" s="112">
        <v>3.03</v>
      </c>
      <c r="J132" s="112" t="s">
        <v>264</v>
      </c>
      <c r="K132" s="112" t="s">
        <v>264</v>
      </c>
      <c r="L132" s="112" t="s">
        <v>265</v>
      </c>
      <c r="M132" s="115">
        <f>(1-$Q$124/100)*(I132*1+$O$124*25+$P$124*298)+($Q$124/100)*25</f>
        <v>3.7642584100000001</v>
      </c>
      <c r="N132" s="204">
        <f t="shared" si="1"/>
        <v>0.35880000000000001</v>
      </c>
    </row>
    <row r="133" spans="1:33" ht="51" x14ac:dyDescent="0.25">
      <c r="B133" s="190" t="s">
        <v>524</v>
      </c>
      <c r="C133" s="112" t="s">
        <v>505</v>
      </c>
      <c r="D133" s="111" t="s">
        <v>302</v>
      </c>
      <c r="E133" s="177"/>
      <c r="F133" s="112">
        <v>4.5999999999999999E-2</v>
      </c>
      <c r="G133" s="112">
        <v>7.8</v>
      </c>
      <c r="H133" s="112" t="s">
        <v>273</v>
      </c>
      <c r="I133" s="185">
        <v>3</v>
      </c>
      <c r="J133" s="112" t="s">
        <v>264</v>
      </c>
      <c r="K133" s="112" t="s">
        <v>264</v>
      </c>
      <c r="L133" s="112" t="s">
        <v>265</v>
      </c>
      <c r="M133" s="115">
        <f>(1-$Q$124/100)*(I133*1+$O$124*25+$P$124*298)+($Q$124/100)*25</f>
        <v>3.7351884100000001</v>
      </c>
      <c r="N133" s="204">
        <f t="shared" si="1"/>
        <v>0.35880000000000001</v>
      </c>
    </row>
    <row r="134" spans="1:33" ht="25.5" x14ac:dyDescent="0.25">
      <c r="B134" s="190" t="s">
        <v>524</v>
      </c>
      <c r="C134" s="112" t="s">
        <v>506</v>
      </c>
      <c r="D134" s="111" t="s">
        <v>296</v>
      </c>
      <c r="E134" s="177"/>
      <c r="F134" s="112">
        <v>0.12</v>
      </c>
      <c r="G134" s="112">
        <v>132</v>
      </c>
      <c r="H134" s="112" t="s">
        <v>307</v>
      </c>
      <c r="I134" s="185">
        <v>0</v>
      </c>
      <c r="J134" s="112">
        <v>0</v>
      </c>
      <c r="K134" s="112" t="s">
        <v>11</v>
      </c>
      <c r="L134" s="112" t="s">
        <v>11</v>
      </c>
      <c r="M134" s="115">
        <f>I134*1+J134*25</f>
        <v>0</v>
      </c>
      <c r="N134" s="204">
        <f t="shared" si="1"/>
        <v>15.84</v>
      </c>
    </row>
    <row r="135" spans="1:33" ht="25.5" x14ac:dyDescent="0.25">
      <c r="B135" s="190" t="s">
        <v>524</v>
      </c>
      <c r="C135" s="112" t="s">
        <v>506</v>
      </c>
      <c r="D135" s="111" t="s">
        <v>303</v>
      </c>
      <c r="E135" s="177"/>
      <c r="F135" s="112">
        <v>0.12</v>
      </c>
      <c r="G135" s="112">
        <v>132</v>
      </c>
      <c r="H135" s="112" t="s">
        <v>267</v>
      </c>
      <c r="I135" s="112">
        <v>0</v>
      </c>
      <c r="J135" s="112">
        <v>0</v>
      </c>
      <c r="K135" s="112" t="s">
        <v>264</v>
      </c>
      <c r="L135" s="112" t="s">
        <v>11</v>
      </c>
      <c r="M135" s="115">
        <f>I135*1+J135*25</f>
        <v>0</v>
      </c>
      <c r="N135" s="204">
        <f t="shared" si="1"/>
        <v>15.84</v>
      </c>
    </row>
    <row r="136" spans="1:33" ht="25.5" x14ac:dyDescent="0.25">
      <c r="B136" s="190" t="s">
        <v>524</v>
      </c>
      <c r="C136" s="112" t="s">
        <v>506</v>
      </c>
      <c r="D136" s="111" t="s">
        <v>297</v>
      </c>
      <c r="E136" s="177"/>
      <c r="F136" s="112">
        <v>1.8599999999999998E-2</v>
      </c>
      <c r="G136" s="112">
        <v>121</v>
      </c>
      <c r="H136" s="112" t="s">
        <v>307</v>
      </c>
      <c r="I136" s="112">
        <v>0</v>
      </c>
      <c r="J136" s="112" t="s">
        <v>265</v>
      </c>
      <c r="K136" s="112" t="s">
        <v>264</v>
      </c>
      <c r="L136" s="112" t="s">
        <v>265</v>
      </c>
      <c r="M136" s="115">
        <f>(1-$Q$124/100)*(I136*1+$O$124*25+$P$124*298)+($Q$124/100)*25</f>
        <v>0.82818840999999999</v>
      </c>
      <c r="N136" s="204">
        <f t="shared" si="1"/>
        <v>2.2505999999999999</v>
      </c>
    </row>
    <row r="137" spans="1:33" ht="25.5" x14ac:dyDescent="0.25">
      <c r="B137" s="190" t="s">
        <v>524</v>
      </c>
      <c r="C137" s="112" t="s">
        <v>506</v>
      </c>
      <c r="D137" s="111" t="s">
        <v>304</v>
      </c>
      <c r="E137" s="177"/>
      <c r="F137" s="112">
        <v>1.8599999999999998E-2</v>
      </c>
      <c r="G137" s="112">
        <v>121</v>
      </c>
      <c r="H137" s="112" t="s">
        <v>267</v>
      </c>
      <c r="I137" s="112">
        <v>0</v>
      </c>
      <c r="J137" s="112" t="s">
        <v>265</v>
      </c>
      <c r="K137" s="112" t="s">
        <v>264</v>
      </c>
      <c r="L137" s="112" t="s">
        <v>265</v>
      </c>
      <c r="M137" s="115">
        <f>(1-$Q$124/100)*(I137*1+$O$124*25+$P$124*298)+($Q$124/100)*25</f>
        <v>0.82818840999999999</v>
      </c>
      <c r="N137" s="204">
        <f t="shared" si="1"/>
        <v>2.2505999999999999</v>
      </c>
    </row>
    <row r="138" spans="1:33" ht="51" x14ac:dyDescent="0.25">
      <c r="B138" s="190" t="s">
        <v>524</v>
      </c>
      <c r="C138" s="112" t="s">
        <v>505</v>
      </c>
      <c r="D138" s="111" t="s">
        <v>268</v>
      </c>
      <c r="E138" s="177"/>
      <c r="F138" s="112">
        <v>1.9900000000000001E-2</v>
      </c>
      <c r="G138" s="112">
        <v>31.3</v>
      </c>
      <c r="H138" s="112" t="s">
        <v>273</v>
      </c>
      <c r="I138" s="112">
        <v>1.375</v>
      </c>
      <c r="J138" s="112" t="s">
        <v>264</v>
      </c>
      <c r="K138" s="112" t="s">
        <v>264</v>
      </c>
      <c r="L138" s="112" t="s">
        <v>11</v>
      </c>
      <c r="M138" s="115">
        <f>I138*1+$O$124*25+$P$124*298</f>
        <v>1.4298899999999999</v>
      </c>
      <c r="N138" s="204">
        <f t="shared" si="1"/>
        <v>0.62287000000000003</v>
      </c>
    </row>
    <row r="139" spans="1:33" ht="142.5" customHeight="1" x14ac:dyDescent="0.25">
      <c r="A139" s="196" t="s">
        <v>540</v>
      </c>
      <c r="B139" s="173" t="s">
        <v>508</v>
      </c>
      <c r="C139" s="112" t="s">
        <v>505</v>
      </c>
      <c r="D139" s="111" t="s">
        <v>286</v>
      </c>
      <c r="E139" s="171" t="s">
        <v>287</v>
      </c>
      <c r="F139" s="112">
        <f>K173/1000</f>
        <v>2.7E-2</v>
      </c>
      <c r="G139" s="193">
        <f>D184</f>
        <v>71.7</v>
      </c>
      <c r="H139" s="112" t="s">
        <v>273</v>
      </c>
      <c r="I139" s="187">
        <v>1.913</v>
      </c>
      <c r="J139" s="112" t="s">
        <v>264</v>
      </c>
      <c r="K139" s="112" t="s">
        <v>264</v>
      </c>
      <c r="L139" s="112" t="s">
        <v>11</v>
      </c>
      <c r="M139" s="114">
        <f>I139*1*0+$O$139*25+$P$139*298</f>
        <v>5.4890000000000001E-2</v>
      </c>
      <c r="N139" s="204">
        <f t="shared" si="1"/>
        <v>1.9359</v>
      </c>
      <c r="O139" s="169">
        <f>MAX(J139:J149)</f>
        <v>5.0000000000000002E-5</v>
      </c>
      <c r="P139" s="169">
        <f>MAX(K139:K149)</f>
        <v>1.8000000000000001E-4</v>
      </c>
      <c r="Q139" s="169">
        <f>MAX(L139:L149)</f>
        <v>3.1</v>
      </c>
      <c r="R139" s="117" t="s">
        <v>452</v>
      </c>
    </row>
    <row r="140" spans="1:33" ht="51" x14ac:dyDescent="0.25">
      <c r="B140" s="173" t="s">
        <v>508</v>
      </c>
      <c r="C140" s="112" t="s">
        <v>505</v>
      </c>
      <c r="D140" s="111" t="s">
        <v>272</v>
      </c>
      <c r="E140" s="171" t="s">
        <v>287</v>
      </c>
      <c r="F140" s="112">
        <f>G178/1000</f>
        <v>4.3999999999999997E-2</v>
      </c>
      <c r="G140" s="193">
        <f>D192</f>
        <v>75.5</v>
      </c>
      <c r="H140" s="112" t="s">
        <v>282</v>
      </c>
      <c r="I140" s="187">
        <v>2.8340000000000001</v>
      </c>
      <c r="J140" s="112" t="s">
        <v>264</v>
      </c>
      <c r="K140" s="112" t="s">
        <v>264</v>
      </c>
      <c r="L140" s="112" t="s">
        <v>11</v>
      </c>
      <c r="M140" s="114">
        <f>I140*1*0+$O$139*25+$P$139*298</f>
        <v>5.4890000000000001E-2</v>
      </c>
      <c r="N140" s="204">
        <f t="shared" si="1"/>
        <v>3.3219999999999996</v>
      </c>
      <c r="P140" s="117" t="s">
        <v>452</v>
      </c>
    </row>
    <row r="141" spans="1:33" ht="51" x14ac:dyDescent="0.25">
      <c r="B141" s="173" t="s">
        <v>508</v>
      </c>
      <c r="C141" s="112" t="s">
        <v>505</v>
      </c>
      <c r="D141" s="111" t="s">
        <v>281</v>
      </c>
      <c r="E141" s="171" t="s">
        <v>287</v>
      </c>
      <c r="F141" s="112">
        <f>G174/1000</f>
        <v>3.6999999999999998E-2</v>
      </c>
      <c r="G141" s="194">
        <f>D198</f>
        <v>73.2</v>
      </c>
      <c r="H141" s="112" t="s">
        <v>273</v>
      </c>
      <c r="I141" s="187">
        <v>3.1150000000000002</v>
      </c>
      <c r="J141" s="113">
        <v>5.0000000000000002E-5</v>
      </c>
      <c r="K141" s="113">
        <v>1.8000000000000001E-4</v>
      </c>
      <c r="L141" s="112" t="s">
        <v>11</v>
      </c>
      <c r="M141" s="114">
        <f>I141*1*0+$O$139*25+$P$139*298</f>
        <v>5.4890000000000001E-2</v>
      </c>
      <c r="N141" s="204">
        <f t="shared" si="1"/>
        <v>2.7084000000000001</v>
      </c>
      <c r="P141" s="117" t="s">
        <v>453</v>
      </c>
    </row>
    <row r="142" spans="1:33" ht="76.5" x14ac:dyDescent="0.25">
      <c r="B142" s="173" t="s">
        <v>508</v>
      </c>
      <c r="C142" s="112" t="s">
        <v>505</v>
      </c>
      <c r="D142" s="111" t="s">
        <v>312</v>
      </c>
      <c r="E142" s="112" t="s">
        <v>308</v>
      </c>
      <c r="F142" s="112">
        <f>G177/1000</f>
        <v>0.05</v>
      </c>
      <c r="G142" s="193">
        <f>$E$233-I142/F142</f>
        <v>16</v>
      </c>
      <c r="H142" s="113" t="s">
        <v>288</v>
      </c>
      <c r="I142" s="187">
        <v>2.75</v>
      </c>
      <c r="J142" s="112">
        <v>0</v>
      </c>
      <c r="K142" s="112">
        <v>1.1E-4</v>
      </c>
      <c r="L142" s="112">
        <v>3.1</v>
      </c>
      <c r="M142" s="114">
        <f>(1-L142/100)*(I142*1*0+J142*25+K142*298)+(L142/100)*25</f>
        <v>0.80676382000000002</v>
      </c>
      <c r="N142" s="204">
        <f t="shared" si="1"/>
        <v>0.8</v>
      </c>
      <c r="P142" s="117" t="s">
        <v>454</v>
      </c>
    </row>
    <row r="143" spans="1:33" ht="76.5" x14ac:dyDescent="0.25">
      <c r="B143" s="173" t="s">
        <v>508</v>
      </c>
      <c r="C143" s="112" t="s">
        <v>505</v>
      </c>
      <c r="D143" s="111" t="s">
        <v>311</v>
      </c>
      <c r="E143" s="112" t="s">
        <v>308</v>
      </c>
      <c r="F143" s="112">
        <f>G177/1000</f>
        <v>0.05</v>
      </c>
      <c r="G143" s="193">
        <f t="shared" ref="G143:G145" si="3">$E$233-I143/F143</f>
        <v>16</v>
      </c>
      <c r="H143" s="113" t="s">
        <v>289</v>
      </c>
      <c r="I143" s="187">
        <v>2.75</v>
      </c>
      <c r="J143" s="112">
        <v>0</v>
      </c>
      <c r="K143" s="112">
        <v>1.1E-4</v>
      </c>
      <c r="L143" s="112">
        <v>1.7</v>
      </c>
      <c r="M143" s="114">
        <f>(1-L143/100)*(I143*1*0+J143*25+K143*298)+(L143/100)*25</f>
        <v>0.45722274000000007</v>
      </c>
      <c r="N143" s="204">
        <f t="shared" si="1"/>
        <v>0.8</v>
      </c>
      <c r="P143" s="117" t="s">
        <v>455</v>
      </c>
    </row>
    <row r="144" spans="1:33" ht="76.5" x14ac:dyDescent="0.25">
      <c r="B144" s="173" t="s">
        <v>508</v>
      </c>
      <c r="C144" s="112" t="s">
        <v>505</v>
      </c>
      <c r="D144" s="111" t="s">
        <v>310</v>
      </c>
      <c r="E144" s="112" t="s">
        <v>308</v>
      </c>
      <c r="F144" s="112">
        <f>G177/1000</f>
        <v>0.05</v>
      </c>
      <c r="G144" s="193">
        <f t="shared" si="3"/>
        <v>16</v>
      </c>
      <c r="H144" s="171" t="s">
        <v>292</v>
      </c>
      <c r="I144" s="187">
        <v>2.75</v>
      </c>
      <c r="J144" s="112">
        <v>0</v>
      </c>
      <c r="K144" s="112">
        <v>1.1E-4</v>
      </c>
      <c r="L144" s="112">
        <v>0.2</v>
      </c>
      <c r="M144" s="114">
        <f>(1-L144/100)*(I144*1*0+J144*25+K144*298)+(L144/100)*25</f>
        <v>8.271444E-2</v>
      </c>
      <c r="N144" s="204">
        <f t="shared" si="1"/>
        <v>0.8</v>
      </c>
      <c r="P144" s="117" t="s">
        <v>456</v>
      </c>
    </row>
    <row r="145" spans="2:17" ht="76.5" x14ac:dyDescent="0.25">
      <c r="B145" s="173" t="s">
        <v>508</v>
      </c>
      <c r="C145" s="112" t="s">
        <v>505</v>
      </c>
      <c r="D145" s="111" t="s">
        <v>309</v>
      </c>
      <c r="E145" s="112" t="s">
        <v>308</v>
      </c>
      <c r="F145" s="112">
        <f>G177/1000</f>
        <v>0.05</v>
      </c>
      <c r="G145" s="193">
        <f t="shared" si="3"/>
        <v>16</v>
      </c>
      <c r="H145" s="112" t="s">
        <v>263</v>
      </c>
      <c r="I145" s="187">
        <v>2.75</v>
      </c>
      <c r="J145" s="112">
        <v>0</v>
      </c>
      <c r="K145" s="112">
        <v>1.1E-4</v>
      </c>
      <c r="L145" s="112">
        <v>2.6</v>
      </c>
      <c r="M145" s="114">
        <f>(1-L145/100)*(I145*1*0+J145*25+K145*298)+(L145/100)*25</f>
        <v>0.68192772000000001</v>
      </c>
      <c r="N145" s="204">
        <f t="shared" si="1"/>
        <v>0.8</v>
      </c>
      <c r="P145" s="117" t="s">
        <v>457</v>
      </c>
    </row>
    <row r="146" spans="2:17" ht="51" x14ac:dyDescent="0.25">
      <c r="B146" s="173" t="s">
        <v>508</v>
      </c>
      <c r="C146" s="112" t="s">
        <v>505</v>
      </c>
      <c r="D146" s="111" t="s">
        <v>274</v>
      </c>
      <c r="E146" s="171" t="s">
        <v>287</v>
      </c>
      <c r="F146" s="112">
        <f>K172/1000</f>
        <v>0.02</v>
      </c>
      <c r="G146" s="194">
        <f>D217</f>
        <v>16.2</v>
      </c>
      <c r="H146" s="112" t="s">
        <v>273</v>
      </c>
      <c r="I146" s="187">
        <v>1.375</v>
      </c>
      <c r="J146" s="112" t="s">
        <v>264</v>
      </c>
      <c r="K146" s="112" t="s">
        <v>264</v>
      </c>
      <c r="L146" s="112" t="s">
        <v>11</v>
      </c>
      <c r="M146" s="114">
        <f>I146*1*0+$O$139*25+$P$139*298</f>
        <v>5.4890000000000001E-2</v>
      </c>
      <c r="N146" s="204">
        <f t="shared" si="1"/>
        <v>0.32400000000000001</v>
      </c>
      <c r="P146" s="117" t="s">
        <v>458</v>
      </c>
    </row>
    <row r="147" spans="2:17" ht="51" x14ac:dyDescent="0.25">
      <c r="B147" s="173" t="s">
        <v>508</v>
      </c>
      <c r="C147" s="112" t="s">
        <v>505</v>
      </c>
      <c r="D147" s="111" t="s">
        <v>313</v>
      </c>
      <c r="E147" s="171" t="s">
        <v>293</v>
      </c>
      <c r="F147" s="112">
        <f>K172/1000</f>
        <v>0.02</v>
      </c>
      <c r="G147" s="194">
        <f>G138</f>
        <v>31.3</v>
      </c>
      <c r="H147" s="112" t="s">
        <v>273</v>
      </c>
      <c r="I147" s="187">
        <v>3.1150000000000002</v>
      </c>
      <c r="J147" s="113">
        <v>5.0000000000000002E-5</v>
      </c>
      <c r="K147" s="113">
        <v>1.8000000000000001E-4</v>
      </c>
      <c r="L147" s="112" t="s">
        <v>11</v>
      </c>
      <c r="M147" s="114">
        <f>I147*1*0+$O$139*25+$P$139*298</f>
        <v>5.4890000000000001E-2</v>
      </c>
      <c r="N147" s="204">
        <f t="shared" si="1"/>
        <v>0.626</v>
      </c>
      <c r="P147" s="117" t="s">
        <v>459</v>
      </c>
    </row>
    <row r="148" spans="2:17" ht="38.25" x14ac:dyDescent="0.25">
      <c r="B148" s="173" t="s">
        <v>508</v>
      </c>
      <c r="C148" s="112" t="s">
        <v>506</v>
      </c>
      <c r="D148" s="111" t="s">
        <v>298</v>
      </c>
      <c r="E148" s="171" t="s">
        <v>287</v>
      </c>
      <c r="F148" s="186">
        <f>K181/1000</f>
        <v>0.12</v>
      </c>
      <c r="G148" s="112" t="s">
        <v>265</v>
      </c>
      <c r="H148" s="112" t="s">
        <v>266</v>
      </c>
      <c r="I148" s="187">
        <v>0</v>
      </c>
      <c r="J148" s="112">
        <v>0</v>
      </c>
      <c r="K148" s="112">
        <v>0</v>
      </c>
      <c r="L148" s="356" t="s">
        <v>11</v>
      </c>
      <c r="M148" s="114">
        <f>I148*1*0+J148*25+K148*298</f>
        <v>0</v>
      </c>
      <c r="N148" s="204"/>
      <c r="P148" s="117" t="s">
        <v>460</v>
      </c>
    </row>
    <row r="149" spans="2:17" ht="38.25" x14ac:dyDescent="0.25">
      <c r="B149" s="173" t="s">
        <v>508</v>
      </c>
      <c r="C149" s="112" t="s">
        <v>506</v>
      </c>
      <c r="D149" s="111" t="s">
        <v>314</v>
      </c>
      <c r="E149" s="171" t="s">
        <v>287</v>
      </c>
      <c r="F149" s="186">
        <f>K181/1000</f>
        <v>0.12</v>
      </c>
      <c r="G149" s="112" t="s">
        <v>265</v>
      </c>
      <c r="H149" s="112" t="s">
        <v>267</v>
      </c>
      <c r="I149" s="187">
        <v>0</v>
      </c>
      <c r="J149" s="112">
        <v>0</v>
      </c>
      <c r="K149" s="112" t="s">
        <v>264</v>
      </c>
      <c r="L149" s="356"/>
      <c r="M149" s="114">
        <f>I149*1*0+$J$149*25+$P$139*298</f>
        <v>5.364E-2</v>
      </c>
      <c r="N149" s="204"/>
      <c r="P149" s="117" t="s">
        <v>461</v>
      </c>
    </row>
    <row r="150" spans="2:17" ht="24.75" customHeight="1" x14ac:dyDescent="0.25">
      <c r="B150" s="189" t="s">
        <v>315</v>
      </c>
      <c r="C150" s="112" t="s">
        <v>505</v>
      </c>
      <c r="D150" s="111" t="s">
        <v>275</v>
      </c>
      <c r="E150" s="177"/>
      <c r="F150" s="112">
        <v>4.2700000000000002E-2</v>
      </c>
      <c r="G150" s="112" t="s">
        <v>316</v>
      </c>
      <c r="H150" s="112" t="s">
        <v>282</v>
      </c>
      <c r="I150" s="187">
        <v>3.206</v>
      </c>
      <c r="J150" s="113">
        <v>5.0000000000000002E-5</v>
      </c>
      <c r="K150" s="113">
        <v>1.8000000000000001E-4</v>
      </c>
      <c r="L150" s="112" t="s">
        <v>11</v>
      </c>
      <c r="M150" s="114">
        <f>I150*1*0+J150*25+K150*298</f>
        <v>5.4890000000000001E-2</v>
      </c>
      <c r="N150" s="204"/>
      <c r="O150" s="169">
        <f>MAX(J150:J161)</f>
        <v>5.0000000000000002E-5</v>
      </c>
      <c r="P150" s="169">
        <f>MAX(K150:K161)</f>
        <v>1.8000000000000001E-4</v>
      </c>
      <c r="Q150" s="169">
        <f>MAX(L150:L161)</f>
        <v>3.1</v>
      </c>
    </row>
    <row r="151" spans="2:17" ht="51" x14ac:dyDescent="0.25">
      <c r="B151" s="189" t="s">
        <v>315</v>
      </c>
      <c r="C151" s="112" t="s">
        <v>505</v>
      </c>
      <c r="D151" s="111" t="s">
        <v>276</v>
      </c>
      <c r="E151" s="177"/>
      <c r="F151" s="112">
        <v>1.9900000000000001E-2</v>
      </c>
      <c r="G151" s="112" t="s">
        <v>316</v>
      </c>
      <c r="H151" s="112" t="s">
        <v>273</v>
      </c>
      <c r="I151" s="187">
        <v>1.375</v>
      </c>
      <c r="J151" s="112" t="s">
        <v>264</v>
      </c>
      <c r="K151" s="112" t="s">
        <v>264</v>
      </c>
      <c r="L151" s="112" t="s">
        <v>11</v>
      </c>
      <c r="M151" s="114">
        <f>I151*1*0+$O$150*25+$P$150*298</f>
        <v>5.4890000000000001E-2</v>
      </c>
      <c r="N151" s="204"/>
      <c r="P151" s="117" t="s">
        <v>462</v>
      </c>
    </row>
    <row r="152" spans="2:17" ht="61.9" customHeight="1" x14ac:dyDescent="0.25">
      <c r="B152" s="189" t="s">
        <v>315</v>
      </c>
      <c r="C152" s="112" t="s">
        <v>505</v>
      </c>
      <c r="D152" s="111" t="s">
        <v>317</v>
      </c>
      <c r="E152" s="177"/>
      <c r="F152" s="112">
        <v>4.9099999999999998E-2</v>
      </c>
      <c r="G152" s="112" t="s">
        <v>316</v>
      </c>
      <c r="H152" s="113" t="s">
        <v>288</v>
      </c>
      <c r="I152" s="187">
        <v>2.75</v>
      </c>
      <c r="J152" s="112">
        <v>0</v>
      </c>
      <c r="K152" s="112">
        <v>1.1E-4</v>
      </c>
      <c r="L152" s="112">
        <v>3.1</v>
      </c>
      <c r="M152" s="114">
        <f>(1-L152/100)*(I152*1*0+J152*25+K152*298)+(L152/100)*25</f>
        <v>0.80676382000000002</v>
      </c>
      <c r="N152" s="204"/>
      <c r="P152" s="117" t="s">
        <v>463</v>
      </c>
    </row>
    <row r="153" spans="2:17" ht="63.75" x14ac:dyDescent="0.25">
      <c r="B153" s="189" t="s">
        <v>315</v>
      </c>
      <c r="C153" s="112" t="s">
        <v>505</v>
      </c>
      <c r="D153" s="111" t="s">
        <v>318</v>
      </c>
      <c r="E153" s="177"/>
      <c r="F153" s="112">
        <v>4.9099999999999998E-2</v>
      </c>
      <c r="G153" s="112" t="s">
        <v>316</v>
      </c>
      <c r="H153" s="113" t="s">
        <v>289</v>
      </c>
      <c r="I153" s="187">
        <v>2.75</v>
      </c>
      <c r="J153" s="112">
        <v>0</v>
      </c>
      <c r="K153" s="112">
        <v>1.1E-4</v>
      </c>
      <c r="L153" s="112">
        <v>1.7</v>
      </c>
      <c r="M153" s="114">
        <f>(1-L153/100)*(I153*1*0+J153*25+K153*298)+(L153/100)*25</f>
        <v>0.45722274000000007</v>
      </c>
      <c r="N153" s="204"/>
      <c r="P153" s="117" t="s">
        <v>464</v>
      </c>
    </row>
    <row r="154" spans="2:17" ht="51" x14ac:dyDescent="0.25">
      <c r="B154" s="189" t="s">
        <v>315</v>
      </c>
      <c r="C154" s="112" t="s">
        <v>505</v>
      </c>
      <c r="D154" s="111" t="s">
        <v>319</v>
      </c>
      <c r="E154" s="177"/>
      <c r="F154" s="112">
        <v>4.9099999999999998E-2</v>
      </c>
      <c r="G154" s="112" t="s">
        <v>316</v>
      </c>
      <c r="H154" s="171" t="s">
        <v>292</v>
      </c>
      <c r="I154" s="187">
        <v>2.75</v>
      </c>
      <c r="J154" s="112">
        <v>0</v>
      </c>
      <c r="K154" s="112">
        <v>1.1E-4</v>
      </c>
      <c r="L154" s="112">
        <v>0.2</v>
      </c>
      <c r="M154" s="114">
        <f>(1-L154/100)*(I154*1*0+J154*25+K154*298)+(L154/100)*25</f>
        <v>8.271444E-2</v>
      </c>
      <c r="N154" s="204"/>
      <c r="P154" s="117" t="s">
        <v>465</v>
      </c>
    </row>
    <row r="155" spans="2:17" ht="25.5" x14ac:dyDescent="0.25">
      <c r="B155" s="189" t="s">
        <v>315</v>
      </c>
      <c r="C155" s="112" t="s">
        <v>505</v>
      </c>
      <c r="D155" s="111" t="s">
        <v>320</v>
      </c>
      <c r="E155" s="177"/>
      <c r="F155" s="112">
        <v>4.9099999999999998E-2</v>
      </c>
      <c r="G155" s="112" t="s">
        <v>316</v>
      </c>
      <c r="H155" s="112" t="s">
        <v>263</v>
      </c>
      <c r="I155" s="187">
        <v>2.75</v>
      </c>
      <c r="J155" s="112">
        <v>0</v>
      </c>
      <c r="K155" s="112">
        <v>1.1E-4</v>
      </c>
      <c r="L155" s="112">
        <v>2.6</v>
      </c>
      <c r="M155" s="114">
        <f>(1-L155/100)*(I155*1*0+J155*25+K155*298)+(L155/100)*25</f>
        <v>0.68192772000000001</v>
      </c>
      <c r="N155" s="204"/>
      <c r="P155" s="117" t="s">
        <v>466</v>
      </c>
    </row>
    <row r="156" spans="2:17" ht="25.5" x14ac:dyDescent="0.25">
      <c r="B156" s="189" t="s">
        <v>315</v>
      </c>
      <c r="C156" s="112" t="s">
        <v>506</v>
      </c>
      <c r="D156" s="111" t="s">
        <v>299</v>
      </c>
      <c r="E156" s="177"/>
      <c r="F156" s="112">
        <v>0.12</v>
      </c>
      <c r="G156" s="112" t="s">
        <v>316</v>
      </c>
      <c r="H156" s="112" t="s">
        <v>266</v>
      </c>
      <c r="I156" s="187">
        <v>0</v>
      </c>
      <c r="J156" s="112">
        <v>0</v>
      </c>
      <c r="K156" s="112">
        <v>0</v>
      </c>
      <c r="L156" s="356" t="s">
        <v>11</v>
      </c>
      <c r="M156" s="114">
        <f>I156*1*0+J156*25+K156*298</f>
        <v>0</v>
      </c>
      <c r="N156" s="204"/>
      <c r="P156" s="117" t="s">
        <v>467</v>
      </c>
    </row>
    <row r="157" spans="2:17" ht="25.5" x14ac:dyDescent="0.25">
      <c r="B157" s="189" t="s">
        <v>315</v>
      </c>
      <c r="C157" s="112" t="s">
        <v>506</v>
      </c>
      <c r="D157" s="111" t="s">
        <v>305</v>
      </c>
      <c r="E157" s="177"/>
      <c r="F157" s="112">
        <v>1.1200000000000001</v>
      </c>
      <c r="G157" s="112" t="s">
        <v>316</v>
      </c>
      <c r="H157" s="112" t="s">
        <v>267</v>
      </c>
      <c r="I157" s="187">
        <v>0</v>
      </c>
      <c r="J157" s="112">
        <v>0</v>
      </c>
      <c r="K157" s="112" t="s">
        <v>264</v>
      </c>
      <c r="L157" s="356"/>
      <c r="M157" s="114">
        <f>I157*1*0+J157*25+$P$139*298</f>
        <v>5.364E-2</v>
      </c>
      <c r="N157" s="204"/>
      <c r="P157" s="117" t="s">
        <v>468</v>
      </c>
    </row>
    <row r="158" spans="2:17" ht="25.5" x14ac:dyDescent="0.25">
      <c r="B158" s="189" t="s">
        <v>315</v>
      </c>
      <c r="C158" s="112" t="s">
        <v>506</v>
      </c>
      <c r="D158" s="111" t="s">
        <v>300</v>
      </c>
      <c r="E158" s="177"/>
      <c r="F158" s="356">
        <v>1.8599999999999998E-2</v>
      </c>
      <c r="G158" s="356" t="s">
        <v>265</v>
      </c>
      <c r="H158" s="112" t="s">
        <v>266</v>
      </c>
      <c r="I158" s="187">
        <v>0</v>
      </c>
      <c r="J158" s="112" t="s">
        <v>265</v>
      </c>
      <c r="K158" s="112" t="s">
        <v>264</v>
      </c>
      <c r="L158" s="112" t="s">
        <v>265</v>
      </c>
      <c r="M158" s="114">
        <f>(1-$Q$124/100)*(I158*1*0+$O$124*25+$P$124*298)+($Q$124/100)*25</f>
        <v>0.82818840999999999</v>
      </c>
      <c r="N158" s="204"/>
      <c r="P158" s="117" t="s">
        <v>469</v>
      </c>
    </row>
    <row r="159" spans="2:17" ht="25.5" x14ac:dyDescent="0.25">
      <c r="B159" s="189" t="s">
        <v>315</v>
      </c>
      <c r="C159" s="112" t="s">
        <v>506</v>
      </c>
      <c r="D159" s="111" t="s">
        <v>306</v>
      </c>
      <c r="E159" s="177"/>
      <c r="F159" s="356"/>
      <c r="G159" s="356"/>
      <c r="H159" s="112" t="s">
        <v>267</v>
      </c>
      <c r="I159" s="187">
        <v>0</v>
      </c>
      <c r="J159" s="112" t="s">
        <v>265</v>
      </c>
      <c r="K159" s="112" t="s">
        <v>264</v>
      </c>
      <c r="L159" s="112" t="s">
        <v>265</v>
      </c>
      <c r="M159" s="114">
        <f>(1-$Q$150/100)*(I159*1*0+$O$150*25+$P$150*298)+($Q$150/100)*25</f>
        <v>0.82818840999999999</v>
      </c>
      <c r="N159" s="204"/>
      <c r="P159" s="117" t="s">
        <v>470</v>
      </c>
    </row>
    <row r="160" spans="2:17" ht="25.5" x14ac:dyDescent="0.25">
      <c r="B160" s="189" t="s">
        <v>315</v>
      </c>
      <c r="C160" s="112" t="s">
        <v>505</v>
      </c>
      <c r="D160" s="111" t="s">
        <v>277</v>
      </c>
      <c r="E160" s="177"/>
      <c r="F160" s="112" t="s">
        <v>265</v>
      </c>
      <c r="G160" s="112" t="s">
        <v>265</v>
      </c>
      <c r="H160" s="171"/>
      <c r="I160" s="187" t="s">
        <v>265</v>
      </c>
      <c r="J160" s="112" t="s">
        <v>265</v>
      </c>
      <c r="K160" s="112" t="s">
        <v>265</v>
      </c>
      <c r="L160" s="112" t="s">
        <v>265</v>
      </c>
      <c r="M160" s="114">
        <f>(1-$Q$150/100)*(MAX($I$150:$I$159)*1*0+$O$150*25+$P$150*298)+($Q$150/100)*25</f>
        <v>0.82818840999999999</v>
      </c>
      <c r="N160" s="204"/>
      <c r="P160" s="117" t="s">
        <v>471</v>
      </c>
    </row>
    <row r="161" spans="1:16" ht="25.5" x14ac:dyDescent="0.25">
      <c r="B161" s="189" t="s">
        <v>315</v>
      </c>
      <c r="C161" s="112" t="s">
        <v>505</v>
      </c>
      <c r="D161" s="111" t="s">
        <v>278</v>
      </c>
      <c r="E161" s="177"/>
      <c r="F161" s="112" t="s">
        <v>265</v>
      </c>
      <c r="G161" s="112" t="s">
        <v>265</v>
      </c>
      <c r="H161" s="171"/>
      <c r="I161" s="187" t="s">
        <v>265</v>
      </c>
      <c r="J161" s="112" t="s">
        <v>265</v>
      </c>
      <c r="K161" s="112" t="s">
        <v>265</v>
      </c>
      <c r="L161" s="112" t="s">
        <v>11</v>
      </c>
      <c r="M161" s="114">
        <f>(1-$Q$150/100)*(MAX($I$150:$I$159)*1*0+$O$150*25+$P$150*298)+($Q$150/100)*25</f>
        <v>0.82818840999999999</v>
      </c>
      <c r="N161" s="204"/>
      <c r="P161" s="117" t="s">
        <v>472</v>
      </c>
    </row>
    <row r="162" spans="1:16" ht="86.25" customHeight="1" x14ac:dyDescent="0.25">
      <c r="A162" s="172" t="s">
        <v>507</v>
      </c>
      <c r="B162" s="191" t="s">
        <v>279</v>
      </c>
      <c r="C162" s="112" t="s">
        <v>506</v>
      </c>
      <c r="D162" s="111" t="s">
        <v>500</v>
      </c>
      <c r="E162" s="177"/>
      <c r="F162" s="188">
        <v>1</v>
      </c>
      <c r="G162" s="188">
        <v>0</v>
      </c>
      <c r="H162" s="112" t="s">
        <v>280</v>
      </c>
      <c r="I162" s="112" t="s">
        <v>11</v>
      </c>
      <c r="J162" s="112" t="s">
        <v>11</v>
      </c>
      <c r="K162" s="112" t="s">
        <v>11</v>
      </c>
      <c r="L162" s="112" t="s">
        <v>11</v>
      </c>
      <c r="M162" s="170"/>
      <c r="N162" s="204">
        <f>G162*F162</f>
        <v>0</v>
      </c>
    </row>
    <row r="163" spans="1:16" ht="38.25" x14ac:dyDescent="0.25">
      <c r="B163" s="191" t="s">
        <v>279</v>
      </c>
      <c r="C163" s="112" t="s">
        <v>506</v>
      </c>
      <c r="D163" s="111" t="s">
        <v>501</v>
      </c>
      <c r="E163" s="177"/>
      <c r="F163" s="188">
        <v>1</v>
      </c>
      <c r="G163" s="188">
        <v>0</v>
      </c>
      <c r="H163" s="112" t="s">
        <v>280</v>
      </c>
      <c r="I163" s="112" t="s">
        <v>11</v>
      </c>
      <c r="J163" s="112" t="s">
        <v>11</v>
      </c>
      <c r="K163" s="112" t="s">
        <v>11</v>
      </c>
      <c r="L163" s="112" t="s">
        <v>11</v>
      </c>
      <c r="M163" s="114"/>
      <c r="N163" s="204">
        <f t="shared" si="1"/>
        <v>0</v>
      </c>
    </row>
    <row r="164" spans="1:16" ht="24.75" customHeight="1" x14ac:dyDescent="0.25">
      <c r="B164" s="191" t="s">
        <v>279</v>
      </c>
      <c r="C164" s="112" t="s">
        <v>506</v>
      </c>
      <c r="D164" s="111" t="s">
        <v>502</v>
      </c>
      <c r="E164" s="177"/>
      <c r="F164" s="188">
        <v>1</v>
      </c>
      <c r="G164" s="188">
        <v>0</v>
      </c>
      <c r="H164" s="112" t="s">
        <v>280</v>
      </c>
      <c r="I164" s="112" t="s">
        <v>11</v>
      </c>
      <c r="J164" s="112" t="s">
        <v>11</v>
      </c>
      <c r="K164" s="112" t="s">
        <v>11</v>
      </c>
      <c r="L164" s="112" t="s">
        <v>11</v>
      </c>
      <c r="M164" s="114"/>
      <c r="N164" s="204">
        <f t="shared" si="1"/>
        <v>0</v>
      </c>
    </row>
    <row r="166" spans="1:16" x14ac:dyDescent="0.25">
      <c r="B166" s="3" t="s">
        <v>381</v>
      </c>
    </row>
    <row r="167" spans="1:16" ht="15.75" thickBot="1" x14ac:dyDescent="0.3">
      <c r="B167" s="3" t="s">
        <v>383</v>
      </c>
      <c r="J167" s="116" t="s">
        <v>450</v>
      </c>
    </row>
    <row r="168" spans="1:16" ht="39" x14ac:dyDescent="0.25">
      <c r="B168" t="s">
        <v>14</v>
      </c>
      <c r="C168" s="4" t="s">
        <v>382</v>
      </c>
      <c r="J168" s="341" t="s">
        <v>393</v>
      </c>
      <c r="K168" s="118" t="s">
        <v>394</v>
      </c>
      <c r="L168" s="120" t="s">
        <v>396</v>
      </c>
    </row>
    <row r="169" spans="1:16" ht="30" thickBot="1" x14ac:dyDescent="0.3">
      <c r="B169" s="125" t="s">
        <v>451</v>
      </c>
      <c r="C169" s="3" t="s">
        <v>384</v>
      </c>
      <c r="F169" t="s">
        <v>450</v>
      </c>
      <c r="J169" s="342"/>
      <c r="K169" s="142" t="s">
        <v>395</v>
      </c>
      <c r="L169" s="121" t="s">
        <v>397</v>
      </c>
    </row>
    <row r="170" spans="1:16" ht="56.25" x14ac:dyDescent="0.25">
      <c r="B170" s="341" t="s">
        <v>325</v>
      </c>
      <c r="C170" s="118" t="s">
        <v>326</v>
      </c>
      <c r="D170" s="135" t="s">
        <v>328</v>
      </c>
      <c r="F170" s="341" t="s">
        <v>393</v>
      </c>
      <c r="G170" s="118" t="s">
        <v>394</v>
      </c>
      <c r="H170" s="120" t="s">
        <v>396</v>
      </c>
      <c r="J170" s="145" t="s">
        <v>413</v>
      </c>
      <c r="K170" s="350"/>
      <c r="L170" s="352"/>
    </row>
    <row r="171" spans="1:16" ht="30" thickBot="1" x14ac:dyDescent="0.3">
      <c r="B171" s="342"/>
      <c r="C171" s="119" t="s">
        <v>327</v>
      </c>
      <c r="D171" s="136" t="s">
        <v>380</v>
      </c>
      <c r="F171" s="342"/>
      <c r="G171" s="142" t="s">
        <v>395</v>
      </c>
      <c r="H171" s="121" t="s">
        <v>397</v>
      </c>
      <c r="J171" s="129" t="s">
        <v>414</v>
      </c>
      <c r="K171" s="351"/>
      <c r="L171" s="353"/>
    </row>
    <row r="172" spans="1:16" ht="34.5" thickBot="1" x14ac:dyDescent="0.3">
      <c r="B172" s="122" t="s">
        <v>330</v>
      </c>
      <c r="C172" s="123">
        <v>30.7</v>
      </c>
      <c r="D172" s="124">
        <v>38.200000000000003</v>
      </c>
      <c r="F172" s="122" t="s">
        <v>398</v>
      </c>
      <c r="G172" s="143"/>
      <c r="H172" s="144"/>
      <c r="J172" s="129" t="s">
        <v>415</v>
      </c>
      <c r="K172" s="123">
        <v>20</v>
      </c>
      <c r="L172" s="124">
        <v>16</v>
      </c>
    </row>
    <row r="173" spans="1:16" ht="23.25" thickBot="1" x14ac:dyDescent="0.3">
      <c r="B173" s="122" t="s">
        <v>331</v>
      </c>
      <c r="C173" s="123">
        <v>21.6</v>
      </c>
      <c r="D173" s="124">
        <v>25.5</v>
      </c>
      <c r="F173" s="129" t="s">
        <v>399</v>
      </c>
      <c r="G173" s="123">
        <v>46</v>
      </c>
      <c r="H173" s="124">
        <v>24</v>
      </c>
      <c r="J173" s="129" t="s">
        <v>416</v>
      </c>
      <c r="K173" s="123">
        <v>27</v>
      </c>
      <c r="L173" s="124">
        <v>21</v>
      </c>
    </row>
    <row r="174" spans="1:16" ht="68.25" thickBot="1" x14ac:dyDescent="0.3">
      <c r="B174" s="122" t="s">
        <v>332</v>
      </c>
      <c r="C174" s="123">
        <v>25.1</v>
      </c>
      <c r="D174" s="124">
        <v>30.4</v>
      </c>
      <c r="F174" s="122" t="s">
        <v>400</v>
      </c>
      <c r="G174" s="123">
        <v>37</v>
      </c>
      <c r="H174" s="124">
        <v>34</v>
      </c>
      <c r="J174" s="129" t="s">
        <v>417</v>
      </c>
      <c r="K174" s="123">
        <v>31</v>
      </c>
      <c r="L174" s="124">
        <v>25</v>
      </c>
    </row>
    <row r="175" spans="1:16" ht="34.5" thickBot="1" x14ac:dyDescent="0.3">
      <c r="B175" s="122" t="s">
        <v>333</v>
      </c>
      <c r="C175" s="123">
        <v>19.5</v>
      </c>
      <c r="D175" s="124">
        <v>22.5</v>
      </c>
      <c r="F175" s="129" t="s">
        <v>401</v>
      </c>
      <c r="G175" s="123">
        <v>37</v>
      </c>
      <c r="H175" s="124">
        <v>33</v>
      </c>
      <c r="J175" s="129" t="s">
        <v>418</v>
      </c>
      <c r="K175" s="123">
        <v>33</v>
      </c>
      <c r="L175" s="124">
        <v>27</v>
      </c>
    </row>
    <row r="176" spans="1:16" ht="57" thickBot="1" x14ac:dyDescent="0.3">
      <c r="B176" s="122" t="s">
        <v>334</v>
      </c>
      <c r="C176" s="123">
        <v>39.299999999999997</v>
      </c>
      <c r="D176" s="124">
        <v>50.2</v>
      </c>
      <c r="F176" s="122" t="s">
        <v>402</v>
      </c>
      <c r="G176" s="123">
        <v>38</v>
      </c>
      <c r="H176" s="124">
        <v>34</v>
      </c>
      <c r="J176" s="122" t="s">
        <v>419</v>
      </c>
      <c r="K176" s="123">
        <v>44</v>
      </c>
      <c r="L176" s="124">
        <v>34</v>
      </c>
    </row>
    <row r="177" spans="2:12" ht="57" thickBot="1" x14ac:dyDescent="0.3">
      <c r="B177" s="126" t="s">
        <v>335</v>
      </c>
      <c r="C177" s="127">
        <v>27.6</v>
      </c>
      <c r="D177" s="128">
        <v>33.9</v>
      </c>
      <c r="F177" s="129" t="s">
        <v>403</v>
      </c>
      <c r="G177" s="123">
        <v>50</v>
      </c>
      <c r="H177" s="124" t="s">
        <v>404</v>
      </c>
      <c r="J177" s="122" t="s">
        <v>420</v>
      </c>
      <c r="K177" s="123">
        <v>44</v>
      </c>
      <c r="L177" s="124">
        <v>33</v>
      </c>
    </row>
    <row r="178" spans="2:12" ht="57" thickBot="1" x14ac:dyDescent="0.3">
      <c r="B178" s="122" t="s">
        <v>336</v>
      </c>
      <c r="C178" s="123">
        <v>48.5</v>
      </c>
      <c r="D178" s="124">
        <v>56.8</v>
      </c>
      <c r="F178" s="122" t="s">
        <v>405</v>
      </c>
      <c r="G178" s="123">
        <v>44</v>
      </c>
      <c r="H178" s="124">
        <v>34</v>
      </c>
      <c r="J178" s="122" t="s">
        <v>421</v>
      </c>
      <c r="K178" s="123">
        <v>44</v>
      </c>
      <c r="L178" s="124">
        <v>33</v>
      </c>
    </row>
    <row r="179" spans="2:12" ht="57" thickBot="1" x14ac:dyDescent="0.3">
      <c r="B179" s="122" t="s">
        <v>337</v>
      </c>
      <c r="C179" s="123">
        <v>42.5</v>
      </c>
      <c r="D179" s="124">
        <v>48.5</v>
      </c>
      <c r="F179" s="122" t="s">
        <v>406</v>
      </c>
      <c r="G179" s="123">
        <v>45</v>
      </c>
      <c r="H179" s="124">
        <v>30</v>
      </c>
      <c r="J179" s="122" t="s">
        <v>422</v>
      </c>
      <c r="K179" s="123">
        <v>46</v>
      </c>
      <c r="L179" s="124">
        <v>24</v>
      </c>
    </row>
    <row r="180" spans="2:12" ht="57" thickBot="1" x14ac:dyDescent="0.3">
      <c r="B180" s="122" t="s">
        <v>338</v>
      </c>
      <c r="C180" s="123">
        <v>56.3</v>
      </c>
      <c r="D180" s="124">
        <v>67.8</v>
      </c>
      <c r="F180" s="122" t="s">
        <v>407</v>
      </c>
      <c r="G180" s="123">
        <v>44</v>
      </c>
      <c r="H180" s="124">
        <v>34</v>
      </c>
      <c r="J180" s="129" t="s">
        <v>423</v>
      </c>
      <c r="K180" s="123">
        <v>28</v>
      </c>
      <c r="L180" s="124">
        <v>19</v>
      </c>
    </row>
    <row r="181" spans="2:12" ht="57" thickBot="1" x14ac:dyDescent="0.3">
      <c r="B181" s="122" t="s">
        <v>339</v>
      </c>
      <c r="C181" s="123">
        <v>29.5</v>
      </c>
      <c r="D181" s="124">
        <v>30.3</v>
      </c>
      <c r="F181" s="122" t="s">
        <v>408</v>
      </c>
      <c r="G181" s="123">
        <v>46</v>
      </c>
      <c r="H181" s="124">
        <v>24</v>
      </c>
      <c r="J181" s="129" t="s">
        <v>424</v>
      </c>
      <c r="K181" s="123">
        <v>120</v>
      </c>
      <c r="L181" s="124" t="s">
        <v>425</v>
      </c>
    </row>
    <row r="182" spans="2:12" ht="68.25" thickBot="1" x14ac:dyDescent="0.3">
      <c r="B182" s="122" t="s">
        <v>340</v>
      </c>
      <c r="C182" s="123">
        <v>50.2</v>
      </c>
      <c r="D182" s="124">
        <v>58.5</v>
      </c>
      <c r="F182" s="122" t="s">
        <v>409</v>
      </c>
      <c r="G182" s="123">
        <v>43</v>
      </c>
      <c r="H182" s="124">
        <v>36</v>
      </c>
      <c r="J182" s="129" t="s">
        <v>426</v>
      </c>
      <c r="K182" s="123" t="s">
        <v>427</v>
      </c>
      <c r="L182" s="124" t="s">
        <v>428</v>
      </c>
    </row>
    <row r="183" spans="2:12" ht="57" thickBot="1" x14ac:dyDescent="0.3">
      <c r="B183" s="122" t="s">
        <v>341</v>
      </c>
      <c r="C183" s="123">
        <v>44.3</v>
      </c>
      <c r="D183" s="124">
        <v>50.3</v>
      </c>
      <c r="F183" s="122" t="s">
        <v>410</v>
      </c>
      <c r="G183" s="123">
        <v>44</v>
      </c>
      <c r="H183" s="124">
        <v>32</v>
      </c>
      <c r="J183" s="122" t="s">
        <v>429</v>
      </c>
      <c r="K183" s="123" t="s">
        <v>430</v>
      </c>
      <c r="L183" s="124" t="s">
        <v>431</v>
      </c>
    </row>
    <row r="184" spans="2:12" ht="68.25" thickBot="1" x14ac:dyDescent="0.3">
      <c r="B184" s="122" t="s">
        <v>342</v>
      </c>
      <c r="C184" s="123">
        <v>59.5</v>
      </c>
      <c r="D184" s="137">
        <v>71.7</v>
      </c>
      <c r="E184" s="163" t="s">
        <v>385</v>
      </c>
      <c r="F184" s="126" t="s">
        <v>411</v>
      </c>
      <c r="G184" s="127">
        <v>43</v>
      </c>
      <c r="H184" s="128">
        <v>33</v>
      </c>
      <c r="J184" s="130" t="s">
        <v>432</v>
      </c>
      <c r="K184" s="127" t="s">
        <v>433</v>
      </c>
      <c r="L184" s="128" t="s">
        <v>434</v>
      </c>
    </row>
    <row r="185" spans="2:12" ht="68.25" thickBot="1" x14ac:dyDescent="0.3">
      <c r="B185" s="122" t="s">
        <v>343</v>
      </c>
      <c r="C185" s="123">
        <v>30.7</v>
      </c>
      <c r="D185" s="124">
        <v>31.4</v>
      </c>
      <c r="F185" s="122" t="s">
        <v>412</v>
      </c>
      <c r="G185" s="123">
        <v>46</v>
      </c>
      <c r="H185" s="124">
        <v>23</v>
      </c>
      <c r="J185" s="122" t="s">
        <v>435</v>
      </c>
      <c r="K185" s="123" t="s">
        <v>436</v>
      </c>
      <c r="L185" s="124" t="s">
        <v>437</v>
      </c>
    </row>
    <row r="186" spans="2:12" ht="57" thickBot="1" x14ac:dyDescent="0.3">
      <c r="B186" s="129" t="s">
        <v>344</v>
      </c>
      <c r="C186" s="123">
        <v>28.1</v>
      </c>
      <c r="D186" s="124">
        <v>28.6</v>
      </c>
      <c r="J186" s="129" t="s">
        <v>438</v>
      </c>
      <c r="K186" s="123" t="s">
        <v>439</v>
      </c>
      <c r="L186" s="124" t="s">
        <v>440</v>
      </c>
    </row>
    <row r="187" spans="2:12" ht="57" thickBot="1" x14ac:dyDescent="0.3">
      <c r="B187" s="129" t="s">
        <v>345</v>
      </c>
      <c r="C187" s="354" t="s">
        <v>346</v>
      </c>
      <c r="D187" s="355"/>
      <c r="J187" s="129" t="s">
        <v>441</v>
      </c>
      <c r="K187" s="123" t="s">
        <v>442</v>
      </c>
      <c r="L187" s="124" t="s">
        <v>443</v>
      </c>
    </row>
    <row r="188" spans="2:12" ht="15.75" thickBot="1" x14ac:dyDescent="0.3">
      <c r="B188" s="129" t="s">
        <v>347</v>
      </c>
      <c r="C188" s="354" t="s">
        <v>346</v>
      </c>
      <c r="D188" s="355"/>
      <c r="J188" s="129" t="s">
        <v>444</v>
      </c>
      <c r="K188" s="143"/>
      <c r="L188" s="144"/>
    </row>
    <row r="189" spans="2:12" ht="15.75" thickBot="1" x14ac:dyDescent="0.3">
      <c r="B189" s="129" t="s">
        <v>348</v>
      </c>
      <c r="C189" s="123">
        <v>45.5</v>
      </c>
      <c r="D189" s="124">
        <v>50.1</v>
      </c>
      <c r="J189" s="129" t="s">
        <v>445</v>
      </c>
      <c r="K189" s="123">
        <v>43</v>
      </c>
      <c r="L189" s="124">
        <v>32</v>
      </c>
    </row>
    <row r="190" spans="2:12" ht="15.75" thickBot="1" x14ac:dyDescent="0.3">
      <c r="B190" s="129" t="s">
        <v>349</v>
      </c>
      <c r="C190" s="123">
        <v>40</v>
      </c>
      <c r="D190" s="124">
        <v>44.7</v>
      </c>
      <c r="J190" s="129" t="s">
        <v>446</v>
      </c>
      <c r="K190" s="123">
        <v>43</v>
      </c>
      <c r="L190" s="124">
        <v>36</v>
      </c>
    </row>
    <row r="191" spans="2:12" ht="15.75" thickBot="1" x14ac:dyDescent="0.3">
      <c r="B191" s="129" t="s">
        <v>350</v>
      </c>
      <c r="C191" s="123">
        <v>42.2</v>
      </c>
      <c r="D191" s="124">
        <v>47</v>
      </c>
      <c r="J191" s="129" t="s">
        <v>447</v>
      </c>
      <c r="K191" s="123">
        <v>43</v>
      </c>
      <c r="L191" s="124">
        <v>34</v>
      </c>
    </row>
    <row r="192" spans="2:12" ht="30.75" thickBot="1" x14ac:dyDescent="0.3">
      <c r="B192" s="130" t="s">
        <v>351</v>
      </c>
      <c r="C192" s="127">
        <v>63.3</v>
      </c>
      <c r="D192" s="138">
        <v>75.5</v>
      </c>
      <c r="E192" s="164" t="s">
        <v>386</v>
      </c>
      <c r="J192" s="129" t="s">
        <v>448</v>
      </c>
      <c r="K192" s="123">
        <v>120</v>
      </c>
      <c r="L192" s="124" t="s">
        <v>449</v>
      </c>
    </row>
    <row r="193" spans="2:5" ht="23.25" thickBot="1" x14ac:dyDescent="0.3">
      <c r="B193" s="130" t="s">
        <v>352</v>
      </c>
      <c r="C193" s="131">
        <v>46.1</v>
      </c>
      <c r="D193" s="132">
        <v>51.4</v>
      </c>
    </row>
    <row r="194" spans="2:5" ht="15.75" thickBot="1" x14ac:dyDescent="0.3">
      <c r="B194" s="130" t="s">
        <v>353</v>
      </c>
      <c r="C194" s="127">
        <v>45.8</v>
      </c>
      <c r="D194" s="128">
        <v>50.1</v>
      </c>
    </row>
    <row r="195" spans="2:5" ht="15.75" thickBot="1" x14ac:dyDescent="0.3">
      <c r="B195" s="122" t="s">
        <v>354</v>
      </c>
      <c r="C195" s="123">
        <v>39.4</v>
      </c>
      <c r="D195" s="124">
        <v>43.6</v>
      </c>
    </row>
    <row r="196" spans="2:5" ht="15.75" thickBot="1" x14ac:dyDescent="0.3">
      <c r="B196" s="129" t="s">
        <v>355</v>
      </c>
      <c r="C196" s="123">
        <v>42.2</v>
      </c>
      <c r="D196" s="124">
        <v>46.5</v>
      </c>
    </row>
    <row r="197" spans="2:5" ht="30.75" thickBot="1" x14ac:dyDescent="0.3">
      <c r="B197" s="133" t="s">
        <v>356</v>
      </c>
      <c r="C197" s="131">
        <v>11.2</v>
      </c>
      <c r="D197" s="140">
        <v>14.9</v>
      </c>
      <c r="E197" s="165" t="s">
        <v>388</v>
      </c>
    </row>
    <row r="198" spans="2:5" ht="30.75" thickBot="1" x14ac:dyDescent="0.3">
      <c r="B198" s="130" t="s">
        <v>357</v>
      </c>
      <c r="C198" s="127">
        <v>62.1</v>
      </c>
      <c r="D198" s="141">
        <v>73.2</v>
      </c>
      <c r="E198" s="165" t="s">
        <v>387</v>
      </c>
    </row>
    <row r="199" spans="2:5" ht="34.5" thickBot="1" x14ac:dyDescent="0.3">
      <c r="B199" s="122" t="s">
        <v>358</v>
      </c>
      <c r="C199" s="123">
        <v>44</v>
      </c>
      <c r="D199" s="124">
        <v>47.9</v>
      </c>
    </row>
    <row r="200" spans="2:5" ht="23.25" thickBot="1" x14ac:dyDescent="0.3">
      <c r="B200" s="129" t="s">
        <v>359</v>
      </c>
      <c r="C200" s="123">
        <v>11.9</v>
      </c>
      <c r="D200" s="124">
        <v>16</v>
      </c>
    </row>
    <row r="201" spans="2:5" ht="15.75" thickBot="1" x14ac:dyDescent="0.3">
      <c r="B201" s="122" t="s">
        <v>360</v>
      </c>
      <c r="C201" s="123">
        <v>16</v>
      </c>
      <c r="D201" s="124">
        <v>21.8</v>
      </c>
    </row>
    <row r="202" spans="2:5" ht="15.75" thickBot="1" x14ac:dyDescent="0.3">
      <c r="B202" s="129" t="s">
        <v>361</v>
      </c>
      <c r="C202" s="123">
        <v>38.5</v>
      </c>
      <c r="D202" s="124">
        <v>40</v>
      </c>
    </row>
    <row r="203" spans="2:5" ht="15.75" thickBot="1" x14ac:dyDescent="0.3">
      <c r="B203" s="129" t="s">
        <v>362</v>
      </c>
      <c r="C203" s="123">
        <v>32.700000000000003</v>
      </c>
      <c r="D203" s="124">
        <v>34.299999999999997</v>
      </c>
    </row>
    <row r="204" spans="2:5" ht="15.75" thickBot="1" x14ac:dyDescent="0.3">
      <c r="B204" s="129" t="s">
        <v>363</v>
      </c>
      <c r="C204" s="123">
        <v>35.200000000000003</v>
      </c>
      <c r="D204" s="124">
        <v>36.9</v>
      </c>
    </row>
    <row r="205" spans="2:5" ht="15.75" thickBot="1" x14ac:dyDescent="0.3">
      <c r="B205" s="129" t="s">
        <v>364</v>
      </c>
      <c r="C205" s="123">
        <v>56.4</v>
      </c>
      <c r="D205" s="124">
        <v>65.5</v>
      </c>
    </row>
    <row r="206" spans="2:5" ht="23.25" thickBot="1" x14ac:dyDescent="0.3">
      <c r="B206" s="122" t="s">
        <v>365</v>
      </c>
      <c r="C206" s="123">
        <v>38.5</v>
      </c>
      <c r="D206" s="124">
        <v>40.299999999999997</v>
      </c>
    </row>
    <row r="207" spans="2:5" ht="15.75" thickBot="1" x14ac:dyDescent="0.3">
      <c r="B207" s="129" t="s">
        <v>366</v>
      </c>
      <c r="C207" s="123">
        <v>2</v>
      </c>
      <c r="D207" s="124">
        <v>2.2000000000000002</v>
      </c>
    </row>
    <row r="208" spans="2:5" ht="15.75" thickBot="1" x14ac:dyDescent="0.3">
      <c r="B208" s="129" t="s">
        <v>367</v>
      </c>
      <c r="C208" s="131">
        <v>15.2</v>
      </c>
      <c r="D208" s="132">
        <v>20.7</v>
      </c>
    </row>
    <row r="209" spans="2:5" ht="15.75" thickBot="1" x14ac:dyDescent="0.3">
      <c r="B209" s="134"/>
    </row>
    <row r="210" spans="2:5" ht="19.5" x14ac:dyDescent="0.25">
      <c r="B210" s="341" t="s">
        <v>325</v>
      </c>
      <c r="C210" s="118" t="s">
        <v>326</v>
      </c>
      <c r="D210" s="120" t="s">
        <v>328</v>
      </c>
    </row>
    <row r="211" spans="2:5" ht="15.75" thickBot="1" x14ac:dyDescent="0.3">
      <c r="B211" s="342"/>
      <c r="C211" s="119" t="s">
        <v>327</v>
      </c>
      <c r="D211" s="121" t="s">
        <v>329</v>
      </c>
    </row>
    <row r="212" spans="2:5" ht="23.25" thickBot="1" x14ac:dyDescent="0.3">
      <c r="B212" s="122" t="s">
        <v>368</v>
      </c>
      <c r="C212" s="123">
        <v>16.7</v>
      </c>
      <c r="D212" s="124">
        <v>16.7</v>
      </c>
    </row>
    <row r="213" spans="2:5" ht="23.25" thickBot="1" x14ac:dyDescent="0.3">
      <c r="B213" s="122" t="s">
        <v>369</v>
      </c>
      <c r="C213" s="123">
        <v>15.6</v>
      </c>
      <c r="D213" s="124">
        <v>15.6</v>
      </c>
    </row>
    <row r="214" spans="2:5" ht="23.25" thickBot="1" x14ac:dyDescent="0.3">
      <c r="B214" s="129" t="s">
        <v>370</v>
      </c>
      <c r="C214" s="123">
        <v>15.2</v>
      </c>
      <c r="D214" s="124">
        <v>15.2</v>
      </c>
    </row>
    <row r="215" spans="2:5" ht="23.25" thickBot="1" x14ac:dyDescent="0.3">
      <c r="B215" s="122" t="s">
        <v>371</v>
      </c>
      <c r="C215" s="123">
        <v>16.2</v>
      </c>
      <c r="D215" s="139">
        <v>16.2</v>
      </c>
      <c r="E215" s="165" t="s">
        <v>391</v>
      </c>
    </row>
    <row r="216" spans="2:5" ht="15.75" thickBot="1" x14ac:dyDescent="0.3">
      <c r="B216" s="122" t="s">
        <v>372</v>
      </c>
      <c r="C216" s="123">
        <v>15.2</v>
      </c>
      <c r="D216" s="124">
        <v>15.2</v>
      </c>
    </row>
    <row r="217" spans="2:5" ht="30.75" thickBot="1" x14ac:dyDescent="0.3">
      <c r="B217" s="122" t="s">
        <v>373</v>
      </c>
      <c r="C217" s="123">
        <v>16.2</v>
      </c>
      <c r="D217" s="139">
        <v>16.2</v>
      </c>
      <c r="E217" s="166" t="s">
        <v>389</v>
      </c>
    </row>
    <row r="218" spans="2:5" ht="23.25" thickBot="1" x14ac:dyDescent="0.3">
      <c r="B218" s="122" t="s">
        <v>374</v>
      </c>
      <c r="C218" s="123">
        <v>10.199999999999999</v>
      </c>
      <c r="D218" s="124">
        <v>10.199999999999999</v>
      </c>
    </row>
    <row r="219" spans="2:5" ht="23.25" thickBot="1" x14ac:dyDescent="0.3">
      <c r="B219" s="122" t="s">
        <v>375</v>
      </c>
      <c r="C219" s="123">
        <v>10.4</v>
      </c>
      <c r="D219" s="124">
        <v>10.4</v>
      </c>
    </row>
    <row r="220" spans="2:5" ht="23.25" thickBot="1" x14ac:dyDescent="0.3">
      <c r="B220" s="122" t="s">
        <v>376</v>
      </c>
      <c r="C220" s="123">
        <v>10.199999999999999</v>
      </c>
      <c r="D220" s="124">
        <v>10.199999999999999</v>
      </c>
    </row>
    <row r="221" spans="2:5" ht="23.25" thickBot="1" x14ac:dyDescent="0.3">
      <c r="B221" s="122" t="s">
        <v>377</v>
      </c>
      <c r="C221" s="123">
        <v>10.4</v>
      </c>
      <c r="D221" s="124">
        <v>10.4</v>
      </c>
    </row>
    <row r="222" spans="2:5" ht="15.75" thickBot="1" x14ac:dyDescent="0.3">
      <c r="B222" s="122" t="s">
        <v>390</v>
      </c>
      <c r="C222" s="124">
        <v>13.7</v>
      </c>
      <c r="D222" s="124">
        <v>15.7</v>
      </c>
    </row>
    <row r="223" spans="2:5" ht="15.75" thickBot="1" x14ac:dyDescent="0.3">
      <c r="B223" s="129" t="s">
        <v>378</v>
      </c>
      <c r="C223" s="348" t="s">
        <v>379</v>
      </c>
      <c r="D223" s="349"/>
    </row>
    <row r="225" spans="2:6" x14ac:dyDescent="0.25">
      <c r="B225" s="167" t="s">
        <v>493</v>
      </c>
    </row>
    <row r="226" spans="2:6" ht="15.75" thickBot="1" x14ac:dyDescent="0.3">
      <c r="B226" t="s">
        <v>14</v>
      </c>
      <c r="C226" s="4" t="s">
        <v>382</v>
      </c>
    </row>
    <row r="227" spans="2:6" ht="19.5" x14ac:dyDescent="0.25">
      <c r="B227" s="341" t="s">
        <v>473</v>
      </c>
      <c r="C227" s="343" t="s">
        <v>474</v>
      </c>
      <c r="D227" s="118" t="s">
        <v>326</v>
      </c>
      <c r="E227" s="120" t="s">
        <v>328</v>
      </c>
    </row>
    <row r="228" spans="2:6" ht="15.75" thickBot="1" x14ac:dyDescent="0.3">
      <c r="B228" s="342"/>
      <c r="C228" s="344"/>
      <c r="D228" s="119" t="s">
        <v>327</v>
      </c>
      <c r="E228" s="121" t="s">
        <v>329</v>
      </c>
    </row>
    <row r="229" spans="2:6" ht="20.25" thickBot="1" x14ac:dyDescent="0.3">
      <c r="B229" s="345" t="s">
        <v>475</v>
      </c>
      <c r="C229" s="123" t="s">
        <v>476</v>
      </c>
      <c r="D229" s="123" t="s">
        <v>477</v>
      </c>
      <c r="E229" s="124">
        <v>22</v>
      </c>
    </row>
    <row r="230" spans="2:6" ht="20.25" thickBot="1" x14ac:dyDescent="0.3">
      <c r="B230" s="346"/>
      <c r="C230" s="122" t="s">
        <v>478</v>
      </c>
      <c r="D230" s="123" t="s">
        <v>479</v>
      </c>
      <c r="E230" s="124">
        <v>1</v>
      </c>
    </row>
    <row r="231" spans="2:6" ht="15.75" thickBot="1" x14ac:dyDescent="0.3">
      <c r="B231" s="346"/>
      <c r="C231" s="123" t="s">
        <v>480</v>
      </c>
      <c r="D231" s="123" t="s">
        <v>481</v>
      </c>
      <c r="E231" s="124" t="s">
        <v>482</v>
      </c>
    </row>
    <row r="232" spans="2:6" ht="15.75" thickBot="1" x14ac:dyDescent="0.3">
      <c r="B232" s="347"/>
      <c r="C232" s="123" t="s">
        <v>483</v>
      </c>
      <c r="D232" s="123" t="s">
        <v>484</v>
      </c>
      <c r="E232" s="124" t="s">
        <v>485</v>
      </c>
    </row>
    <row r="233" spans="2:6" ht="15.75" thickBot="1" x14ac:dyDescent="0.3">
      <c r="B233" s="345" t="s">
        <v>486</v>
      </c>
      <c r="C233" s="127" t="s">
        <v>487</v>
      </c>
      <c r="D233" s="127">
        <v>51</v>
      </c>
      <c r="E233" s="138">
        <v>71</v>
      </c>
      <c r="F233" s="48" t="s">
        <v>492</v>
      </c>
    </row>
    <row r="234" spans="2:6" ht="15.75" thickBot="1" x14ac:dyDescent="0.3">
      <c r="B234" s="346"/>
      <c r="C234" s="123" t="s">
        <v>488</v>
      </c>
      <c r="D234" s="123">
        <v>36</v>
      </c>
      <c r="E234" s="124">
        <v>50</v>
      </c>
    </row>
    <row r="235" spans="2:6" ht="15.75" thickBot="1" x14ac:dyDescent="0.3">
      <c r="B235" s="346"/>
      <c r="C235" s="123" t="s">
        <v>480</v>
      </c>
      <c r="D235" s="123">
        <v>25</v>
      </c>
      <c r="E235" s="124">
        <v>35</v>
      </c>
    </row>
    <row r="236" spans="2:6" ht="15.75" thickBot="1" x14ac:dyDescent="0.3">
      <c r="B236" s="347"/>
      <c r="C236" s="123" t="s">
        <v>483</v>
      </c>
      <c r="D236" s="123">
        <v>10</v>
      </c>
      <c r="E236" s="124">
        <v>14</v>
      </c>
    </row>
    <row r="238" spans="2:6" ht="31.15" customHeight="1" x14ac:dyDescent="0.25">
      <c r="B238" s="336" t="s">
        <v>489</v>
      </c>
      <c r="C238" s="336"/>
      <c r="D238" s="336"/>
      <c r="E238" s="336"/>
    </row>
    <row r="239" spans="2:6" ht="32.65" customHeight="1" x14ac:dyDescent="0.25">
      <c r="B239" s="336" t="s">
        <v>490</v>
      </c>
      <c r="C239" s="336"/>
      <c r="D239" s="336"/>
      <c r="E239" s="336"/>
    </row>
    <row r="240" spans="2:6" ht="36" customHeight="1" x14ac:dyDescent="0.25">
      <c r="B240" s="337" t="s">
        <v>491</v>
      </c>
      <c r="C240" s="337"/>
      <c r="D240" s="337"/>
      <c r="E240" s="337"/>
    </row>
  </sheetData>
  <mergeCells count="31">
    <mergeCell ref="B23:C23"/>
    <mergeCell ref="B76:B77"/>
    <mergeCell ref="C76:C77"/>
    <mergeCell ref="D76:D77"/>
    <mergeCell ref="E76:E77"/>
    <mergeCell ref="L148:L149"/>
    <mergeCell ref="I121:K121"/>
    <mergeCell ref="B122:B123"/>
    <mergeCell ref="E122:E123"/>
    <mergeCell ref="H122:H123"/>
    <mergeCell ref="C188:D188"/>
    <mergeCell ref="L156:L157"/>
    <mergeCell ref="F158:F159"/>
    <mergeCell ref="G158:G159"/>
    <mergeCell ref="B210:B211"/>
    <mergeCell ref="B239:E239"/>
    <mergeCell ref="B240:E240"/>
    <mergeCell ref="R122:AG129"/>
    <mergeCell ref="C122:C123"/>
    <mergeCell ref="B227:B228"/>
    <mergeCell ref="C227:C228"/>
    <mergeCell ref="B229:B232"/>
    <mergeCell ref="B233:B236"/>
    <mergeCell ref="B238:E238"/>
    <mergeCell ref="C223:D223"/>
    <mergeCell ref="F170:F171"/>
    <mergeCell ref="K170:K171"/>
    <mergeCell ref="L170:L171"/>
    <mergeCell ref="J168:J169"/>
    <mergeCell ref="B170:B171"/>
    <mergeCell ref="C187:D187"/>
  </mergeCells>
  <phoneticPr fontId="95" type="noConversion"/>
  <hyperlinks>
    <hyperlink ref="F20" r:id="rId1" xr:uid="{00000000-0004-0000-1A00-00000A000000}"/>
    <hyperlink ref="C19" r:id="rId2" xr:uid="{BE0C2CA5-3423-4572-9930-8A9E3ECBE1A2}"/>
    <hyperlink ref="K21" r:id="rId3" xr:uid="{00000000-0004-0000-1A00-000009000000}"/>
    <hyperlink ref="H93" r:id="rId4" xr:uid="{857DF6A5-52BA-407A-B2E0-294345661713}"/>
    <hyperlink ref="H94" r:id="rId5" xr:uid="{6FA944EB-BF3D-46E7-B954-537DB9057D61}"/>
    <hyperlink ref="H91:H92" r:id="rId6" display="https://kliimaministeerium.ee/sites/default/files/documents/2023-11/KHG%20jalaj%C3%A4lje%20arvutusmudel%202023.xlsx" xr:uid="{FAF05227-F993-47FF-B5D7-A284E8AF1078}"/>
    <hyperlink ref="H95" r:id="rId7" xr:uid="{2640E4F8-2D6E-4171-B9EE-49226E7C4C29}"/>
    <hyperlink ref="H96" r:id="rId8" xr:uid="{EDA41EF4-FCEB-4F31-84D4-06BF5FD1CC99}"/>
    <hyperlink ref="H97" r:id="rId9" xr:uid="{27952767-0DD5-4382-84EE-B7AAD4DEC007}"/>
    <hyperlink ref="E23" r:id="rId10" xr:uid="{90B70631-590D-4230-84DB-710862B4C028}"/>
    <hyperlink ref="C37" r:id="rId11" xr:uid="{B877FCF4-CD30-413C-B845-91B898831118}"/>
    <hyperlink ref="B2" r:id="rId12" display="https://kliimaministeerium.ee/sites/default/files/documents/2024-11/KHG jalaj%C3%A4lje arvutusmudel 2024.11.19.xlsx" xr:uid="{FF8476E5-72D4-4C83-BDE0-DC987069ACFA}"/>
    <hyperlink ref="C101" r:id="rId13" xr:uid="{80603DE7-685B-4FA2-B63F-1A9496273763}"/>
    <hyperlink ref="C168" r:id="rId14" xr:uid="{F426E205-2434-4C74-AE27-49140362560D}"/>
    <hyperlink ref="C226" r:id="rId15" xr:uid="{CA3EE118-E383-4E96-986B-5D1D6C671CDA}"/>
  </hyperlinks>
  <pageMargins left="0.7" right="0.7" top="0.75" bottom="0.75" header="0.3" footer="0.3"/>
  <drawing r:id="rId16"/>
  <legacyDrawing r:id="rId1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D0E4D-A092-4CA9-A784-FFD84B02A290}">
  <dimension ref="A2:N27"/>
  <sheetViews>
    <sheetView workbookViewId="0">
      <selection activeCell="E31" sqref="E31"/>
    </sheetView>
  </sheetViews>
  <sheetFormatPr defaultRowHeight="15" x14ac:dyDescent="0.25"/>
  <cols>
    <col min="1" max="1" width="10.5703125" customWidth="1"/>
    <col min="2" max="2" width="20.140625" customWidth="1"/>
    <col min="4" max="4" width="12.42578125" customWidth="1"/>
    <col min="5" max="5" width="12" customWidth="1"/>
    <col min="6" max="6" width="13.85546875" customWidth="1"/>
    <col min="7" max="7" width="11.85546875" bestFit="1" customWidth="1"/>
    <col min="8" max="8" width="20.85546875" customWidth="1"/>
  </cols>
  <sheetData>
    <row r="2" spans="1:12" x14ac:dyDescent="0.25">
      <c r="A2" s="60" t="s">
        <v>92</v>
      </c>
      <c r="D2" s="51"/>
    </row>
    <row r="3" spans="1:12" x14ac:dyDescent="0.25">
      <c r="A3" s="56" t="s">
        <v>93</v>
      </c>
      <c r="B3" s="58" t="s">
        <v>94</v>
      </c>
      <c r="C3" s="58" t="s">
        <v>19</v>
      </c>
      <c r="D3" s="58" t="s">
        <v>95</v>
      </c>
      <c r="E3" s="58" t="s">
        <v>19</v>
      </c>
      <c r="F3" s="58" t="s">
        <v>95</v>
      </c>
      <c r="G3" s="58" t="s">
        <v>19</v>
      </c>
      <c r="H3" s="58" t="s">
        <v>96</v>
      </c>
      <c r="I3" s="58" t="s">
        <v>19</v>
      </c>
      <c r="K3" t="s">
        <v>254</v>
      </c>
      <c r="L3" s="3" t="s">
        <v>255</v>
      </c>
    </row>
    <row r="4" spans="1:12" x14ac:dyDescent="0.25">
      <c r="A4" s="59" t="s">
        <v>97</v>
      </c>
      <c r="B4" s="65">
        <v>0</v>
      </c>
      <c r="C4" s="64" t="s">
        <v>4</v>
      </c>
      <c r="D4" s="27">
        <v>119.93</v>
      </c>
      <c r="E4" s="64" t="s">
        <v>98</v>
      </c>
      <c r="F4" s="27">
        <f>D4*$A$14/1000</f>
        <v>33.313915540000004</v>
      </c>
      <c r="G4" s="64" t="s">
        <v>99</v>
      </c>
      <c r="H4" s="31">
        <f>F4*B4</f>
        <v>0</v>
      </c>
      <c r="I4" s="64" t="s">
        <v>13</v>
      </c>
      <c r="K4" s="4" t="s">
        <v>256</v>
      </c>
      <c r="L4" s="3"/>
    </row>
    <row r="5" spans="1:12" x14ac:dyDescent="0.25">
      <c r="A5" s="59" t="s">
        <v>100</v>
      </c>
      <c r="B5" s="65">
        <v>0</v>
      </c>
      <c r="C5" s="64" t="s">
        <v>4</v>
      </c>
      <c r="D5" s="27">
        <v>44</v>
      </c>
      <c r="E5" s="64" t="s">
        <v>98</v>
      </c>
      <c r="F5" s="27">
        <f t="shared" ref="F5:F11" si="0">D5*$A$14/1000</f>
        <v>12.222232</v>
      </c>
      <c r="G5" s="64" t="s">
        <v>99</v>
      </c>
      <c r="H5" s="31">
        <f>F5*B5</f>
        <v>0</v>
      </c>
      <c r="I5" s="64" t="s">
        <v>13</v>
      </c>
      <c r="K5" t="s">
        <v>257</v>
      </c>
      <c r="L5" s="3"/>
    </row>
    <row r="6" spans="1:12" x14ac:dyDescent="0.25">
      <c r="A6" s="59" t="s">
        <v>101</v>
      </c>
      <c r="B6" s="65">
        <v>398.2</v>
      </c>
      <c r="C6" s="64" t="s">
        <v>4</v>
      </c>
      <c r="D6" s="27">
        <v>42.3</v>
      </c>
      <c r="E6" s="64" t="s">
        <v>98</v>
      </c>
      <c r="F6" s="27">
        <f t="shared" si="0"/>
        <v>11.750009400000001</v>
      </c>
      <c r="G6" s="64" t="s">
        <v>99</v>
      </c>
      <c r="H6" s="31">
        <f t="shared" ref="H6:H11" si="1">F6*B6</f>
        <v>4678.8537430800006</v>
      </c>
      <c r="I6" s="64" t="s">
        <v>13</v>
      </c>
      <c r="K6" s="5" t="s">
        <v>258</v>
      </c>
      <c r="L6" s="3"/>
    </row>
    <row r="7" spans="1:12" x14ac:dyDescent="0.25">
      <c r="A7" s="59" t="s">
        <v>102</v>
      </c>
      <c r="B7" s="65">
        <v>0</v>
      </c>
      <c r="C7" s="64" t="s">
        <v>4</v>
      </c>
      <c r="D7" s="27">
        <v>11.899999999999999</v>
      </c>
      <c r="E7" s="64" t="s">
        <v>98</v>
      </c>
      <c r="F7" s="27">
        <f t="shared" si="0"/>
        <v>3.3055582000000001</v>
      </c>
      <c r="G7" s="64" t="s">
        <v>99</v>
      </c>
      <c r="H7" s="31">
        <f t="shared" si="1"/>
        <v>0</v>
      </c>
      <c r="I7" s="64" t="s">
        <v>13</v>
      </c>
    </row>
    <row r="8" spans="1:12" x14ac:dyDescent="0.25">
      <c r="A8" s="59" t="s">
        <v>103</v>
      </c>
      <c r="B8" s="65">
        <v>0</v>
      </c>
      <c r="C8" s="64" t="s">
        <v>4</v>
      </c>
      <c r="D8" s="47">
        <v>19.210000000000004</v>
      </c>
      <c r="E8" s="64" t="s">
        <v>98</v>
      </c>
      <c r="F8" s="27">
        <f t="shared" si="0"/>
        <v>5.3361153800000016</v>
      </c>
      <c r="G8" s="64" t="s">
        <v>99</v>
      </c>
      <c r="H8" s="31">
        <f>F8*B8</f>
        <v>0</v>
      </c>
      <c r="I8" s="64" t="s">
        <v>13</v>
      </c>
    </row>
    <row r="9" spans="1:12" ht="16.5" x14ac:dyDescent="0.25">
      <c r="A9" s="59" t="s">
        <v>104</v>
      </c>
      <c r="B9" s="65">
        <v>0</v>
      </c>
      <c r="C9" s="64" t="s">
        <v>105</v>
      </c>
      <c r="D9" s="27">
        <v>17.399999999999999</v>
      </c>
      <c r="E9" s="64" t="s">
        <v>106</v>
      </c>
      <c r="F9" s="27">
        <f t="shared" si="0"/>
        <v>4.8333371999999999</v>
      </c>
      <c r="G9" s="64" t="s">
        <v>107</v>
      </c>
      <c r="H9" s="31">
        <f t="shared" si="1"/>
        <v>0</v>
      </c>
      <c r="I9" s="64" t="s">
        <v>13</v>
      </c>
    </row>
    <row r="10" spans="1:12" ht="16.5" x14ac:dyDescent="0.25">
      <c r="A10" s="33" t="s">
        <v>10</v>
      </c>
      <c r="B10" s="32">
        <v>0</v>
      </c>
      <c r="C10" s="68" t="s">
        <v>105</v>
      </c>
      <c r="D10" s="46">
        <v>34.130000000000003</v>
      </c>
      <c r="E10" s="68" t="s">
        <v>108</v>
      </c>
      <c r="F10" s="27">
        <f t="shared" si="0"/>
        <v>9.4805631400000028</v>
      </c>
      <c r="G10" s="68" t="s">
        <v>109</v>
      </c>
      <c r="H10" s="52">
        <f t="shared" si="1"/>
        <v>0</v>
      </c>
      <c r="I10" s="64" t="s">
        <v>13</v>
      </c>
    </row>
    <row r="11" spans="1:12" x14ac:dyDescent="0.25">
      <c r="A11" s="33" t="s">
        <v>10</v>
      </c>
      <c r="B11" s="32">
        <v>0</v>
      </c>
      <c r="C11" s="68" t="s">
        <v>4</v>
      </c>
      <c r="D11" s="46">
        <v>50</v>
      </c>
      <c r="E11" s="68" t="s">
        <v>98</v>
      </c>
      <c r="F11" s="27">
        <f t="shared" si="0"/>
        <v>13.888900000000001</v>
      </c>
      <c r="G11" s="68" t="s">
        <v>99</v>
      </c>
      <c r="H11" s="52">
        <f t="shared" si="1"/>
        <v>0</v>
      </c>
      <c r="I11" s="64" t="s">
        <v>13</v>
      </c>
    </row>
    <row r="12" spans="1:12" x14ac:dyDescent="0.25">
      <c r="A12" s="12"/>
      <c r="B12" s="12"/>
      <c r="C12" s="12"/>
      <c r="D12" s="12"/>
      <c r="E12" s="12"/>
      <c r="F12" s="30"/>
      <c r="G12" s="12"/>
    </row>
    <row r="13" spans="1:12" x14ac:dyDescent="0.25">
      <c r="A13" s="48" t="s">
        <v>110</v>
      </c>
      <c r="D13" s="9"/>
      <c r="G13" s="2" t="s">
        <v>12</v>
      </c>
      <c r="H13" s="2">
        <v>1</v>
      </c>
      <c r="I13" s="2">
        <f>H13*I17/H17</f>
        <v>3599.9999997119999</v>
      </c>
    </row>
    <row r="14" spans="1:12" x14ac:dyDescent="0.25">
      <c r="A14" s="43">
        <v>277.77800000000002</v>
      </c>
      <c r="B14" s="34" t="s">
        <v>111</v>
      </c>
      <c r="H14" s="174" t="s">
        <v>509</v>
      </c>
      <c r="I14" s="174" t="s">
        <v>509</v>
      </c>
    </row>
    <row r="15" spans="1:12" x14ac:dyDescent="0.25">
      <c r="A15" s="11" t="s">
        <v>112</v>
      </c>
      <c r="B15" s="28"/>
      <c r="G15" s="2" t="s">
        <v>229</v>
      </c>
      <c r="H15" s="2">
        <v>0.27779999999999999</v>
      </c>
      <c r="I15" s="2">
        <f>I13/1000</f>
        <v>3.5999999997119998</v>
      </c>
    </row>
    <row r="16" spans="1:12" ht="15.75" thickBot="1" x14ac:dyDescent="0.3">
      <c r="A16">
        <v>119.93</v>
      </c>
      <c r="B16" t="s">
        <v>68</v>
      </c>
      <c r="G16" s="175"/>
      <c r="H16" s="174" t="s">
        <v>509</v>
      </c>
      <c r="I16" s="174" t="s">
        <v>509</v>
      </c>
      <c r="J16" s="49"/>
    </row>
    <row r="17" spans="1:14" ht="15.75" thickBot="1" x14ac:dyDescent="0.3">
      <c r="A17">
        <v>33.31</v>
      </c>
      <c r="B17" t="s">
        <v>113</v>
      </c>
      <c r="G17" s="2" t="s">
        <v>9</v>
      </c>
      <c r="H17" s="2">
        <v>2.7777777780000002E-4</v>
      </c>
      <c r="I17" s="2">
        <v>1</v>
      </c>
      <c r="J17" s="41"/>
    </row>
    <row r="18" spans="1:14" x14ac:dyDescent="0.25">
      <c r="A18" t="s">
        <v>114</v>
      </c>
      <c r="B18" s="28"/>
    </row>
    <row r="19" spans="1:14" x14ac:dyDescent="0.25">
      <c r="A19" t="s">
        <v>115</v>
      </c>
      <c r="B19" s="28"/>
    </row>
    <row r="20" spans="1:14" x14ac:dyDescent="0.25">
      <c r="A20" t="s">
        <v>116</v>
      </c>
      <c r="B20" s="28"/>
      <c r="C20">
        <f>D5*B24/1000</f>
        <v>33.11</v>
      </c>
      <c r="K20" t="s">
        <v>535</v>
      </c>
      <c r="M20">
        <v>1923600</v>
      </c>
      <c r="N20" t="s">
        <v>536</v>
      </c>
    </row>
    <row r="21" spans="1:14" x14ac:dyDescent="0.25">
      <c r="B21" s="28"/>
      <c r="K21">
        <f>I15*M20</f>
        <v>6924959.9994460028</v>
      </c>
    </row>
    <row r="22" spans="1:14" ht="16.5" x14ac:dyDescent="0.25">
      <c r="A22" s="367" t="s">
        <v>640</v>
      </c>
      <c r="B22" s="367"/>
      <c r="C22" s="367"/>
      <c r="D22" s="367"/>
      <c r="E22" s="367"/>
      <c r="F22" s="368" t="s">
        <v>117</v>
      </c>
      <c r="G22" s="368"/>
      <c r="H22" s="368"/>
      <c r="I22" s="368"/>
    </row>
    <row r="23" spans="1:14" ht="16.5" x14ac:dyDescent="0.25">
      <c r="A23" s="56" t="s">
        <v>93</v>
      </c>
      <c r="B23" s="58" t="s">
        <v>118</v>
      </c>
      <c r="C23" s="58" t="s">
        <v>19</v>
      </c>
      <c r="D23" s="58" t="s">
        <v>119</v>
      </c>
      <c r="E23" s="58" t="s">
        <v>120</v>
      </c>
      <c r="F23" s="368"/>
      <c r="G23" s="368"/>
      <c r="H23" s="368"/>
      <c r="I23" s="368"/>
    </row>
    <row r="24" spans="1:14" x14ac:dyDescent="0.25">
      <c r="A24" s="63" t="s">
        <v>100</v>
      </c>
      <c r="B24" s="64">
        <f>AVERAGE(725,780)</f>
        <v>752.5</v>
      </c>
      <c r="C24" s="64" t="s">
        <v>121</v>
      </c>
      <c r="D24" s="65">
        <v>1</v>
      </c>
      <c r="E24" s="47">
        <f>D24*B24/1000</f>
        <v>0.75249999999999995</v>
      </c>
      <c r="F24" s="368"/>
      <c r="G24" s="368"/>
      <c r="H24" s="368"/>
      <c r="I24" s="368"/>
    </row>
    <row r="25" spans="1:14" x14ac:dyDescent="0.25">
      <c r="A25" s="63" t="s">
        <v>101</v>
      </c>
      <c r="B25" s="64">
        <f>AVERAGE(820,860,800,845)</f>
        <v>831.25</v>
      </c>
      <c r="C25" s="64" t="s">
        <v>121</v>
      </c>
      <c r="D25" s="65">
        <v>479.05900000000003</v>
      </c>
      <c r="E25" s="47">
        <f>D25*B25/1000</f>
        <v>398.21779375</v>
      </c>
      <c r="F25" s="368"/>
      <c r="G25" s="368"/>
      <c r="H25" s="368"/>
      <c r="I25" s="368"/>
    </row>
    <row r="26" spans="1:14" x14ac:dyDescent="0.25">
      <c r="A26" t="s">
        <v>122</v>
      </c>
    </row>
    <row r="27" spans="1:14" x14ac:dyDescent="0.25">
      <c r="A27" s="4" t="s">
        <v>123</v>
      </c>
    </row>
  </sheetData>
  <mergeCells count="2">
    <mergeCell ref="A22:E22"/>
    <mergeCell ref="F22:I25"/>
  </mergeCells>
  <hyperlinks>
    <hyperlink ref="A27" r:id="rId1" xr:uid="{853746A8-A3B6-4E43-B0EE-F7430AE2A914}"/>
    <hyperlink ref="K4" r:id="rId2" xr:uid="{7B9F69FF-CB12-48D8-A1BF-3BEE7F8F33EA}"/>
  </hyperlinks>
  <pageMargins left="0.7" right="0.7" top="0.75" bottom="0.75" header="0.3" footer="0.3"/>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5338C-7185-4444-B09D-EF3D752BD761}">
  <dimension ref="A1:E13"/>
  <sheetViews>
    <sheetView workbookViewId="0">
      <selection activeCell="E7" sqref="E7"/>
    </sheetView>
  </sheetViews>
  <sheetFormatPr defaultRowHeight="15" x14ac:dyDescent="0.25"/>
  <cols>
    <col min="2" max="3" width="15.140625" bestFit="1" customWidth="1"/>
  </cols>
  <sheetData>
    <row r="1" spans="1:5" x14ac:dyDescent="0.25">
      <c r="A1" s="15" t="s">
        <v>527</v>
      </c>
    </row>
    <row r="2" spans="1:5" x14ac:dyDescent="0.25">
      <c r="A2" s="15" t="s">
        <v>230</v>
      </c>
    </row>
    <row r="3" spans="1:5" x14ac:dyDescent="0.25">
      <c r="A3" s="4" t="s">
        <v>228</v>
      </c>
    </row>
    <row r="4" spans="1:5" x14ac:dyDescent="0.25">
      <c r="A4" s="15" t="s">
        <v>270</v>
      </c>
    </row>
    <row r="6" spans="1:5" ht="18" x14ac:dyDescent="0.35">
      <c r="B6" s="106" t="s">
        <v>232</v>
      </c>
      <c r="C6" s="106" t="s">
        <v>233</v>
      </c>
      <c r="D6" s="106" t="s">
        <v>231</v>
      </c>
      <c r="E6" s="106" t="s">
        <v>234</v>
      </c>
    </row>
    <row r="7" spans="1:5" ht="60" x14ac:dyDescent="0.25">
      <c r="B7" s="109" t="s">
        <v>238</v>
      </c>
      <c r="C7" s="109" t="s">
        <v>238</v>
      </c>
      <c r="D7" s="2" t="str">
        <f>IFERROR(B7/C7," ")</f>
        <v xml:space="preserve"> </v>
      </c>
      <c r="E7" s="6">
        <f>IFERROR(IF(D7+D13,E13,_xlfn.FORECAST.LINEAR(D7,D11:D13,E11:E13)),1)</f>
        <v>1</v>
      </c>
    </row>
    <row r="9" spans="1:5" x14ac:dyDescent="0.25">
      <c r="D9" s="369" t="s">
        <v>235</v>
      </c>
      <c r="E9" s="369"/>
    </row>
    <row r="10" spans="1:5" ht="18" x14ac:dyDescent="0.35">
      <c r="D10" s="107" t="s">
        <v>236</v>
      </c>
      <c r="E10" s="107" t="s">
        <v>237</v>
      </c>
    </row>
    <row r="11" spans="1:5" x14ac:dyDescent="0.25">
      <c r="D11" s="108">
        <v>0.05</v>
      </c>
      <c r="E11" s="108">
        <v>0.99</v>
      </c>
    </row>
    <row r="12" spans="1:5" x14ac:dyDescent="0.25">
      <c r="D12" s="108">
        <v>0.01</v>
      </c>
      <c r="E12" s="108">
        <v>0.97</v>
      </c>
    </row>
    <row r="13" spans="1:5" x14ac:dyDescent="0.25">
      <c r="D13" s="108">
        <v>1.4999999999999999E-2</v>
      </c>
      <c r="E13" s="108">
        <v>0.95</v>
      </c>
    </row>
  </sheetData>
  <mergeCells count="1">
    <mergeCell ref="D9:E9"/>
  </mergeCells>
  <hyperlinks>
    <hyperlink ref="A3" r:id="rId1" xr:uid="{CD3A5E3E-C95B-40D5-894B-731250E6538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69674-6771-41D7-84A7-8058839F86DD}">
  <dimension ref="A1:Y5"/>
  <sheetViews>
    <sheetView zoomScale="80" zoomScaleNormal="80" workbookViewId="0">
      <selection activeCell="K24" sqref="K24"/>
    </sheetView>
  </sheetViews>
  <sheetFormatPr defaultRowHeight="15" x14ac:dyDescent="0.25"/>
  <sheetData>
    <row r="1" spans="1:25" x14ac:dyDescent="0.25">
      <c r="A1" s="285" t="s">
        <v>656</v>
      </c>
      <c r="I1" s="286"/>
      <c r="J1" s="286"/>
      <c r="K1" s="286"/>
      <c r="L1" s="286"/>
      <c r="M1" s="286"/>
      <c r="N1" s="286"/>
      <c r="O1" s="286"/>
      <c r="P1" s="286"/>
      <c r="Q1" s="286"/>
      <c r="R1" s="286"/>
      <c r="S1" s="286"/>
      <c r="T1" s="286"/>
      <c r="U1" s="286"/>
      <c r="V1" s="286"/>
      <c r="W1" s="286"/>
      <c r="X1" s="286"/>
      <c r="Y1" s="286"/>
    </row>
    <row r="2" spans="1:25" x14ac:dyDescent="0.25">
      <c r="A2" t="s">
        <v>511</v>
      </c>
      <c r="I2" s="286"/>
      <c r="J2" s="286"/>
      <c r="K2" s="286"/>
      <c r="L2" s="286"/>
      <c r="M2" s="286"/>
      <c r="N2" s="286"/>
      <c r="O2" s="286"/>
      <c r="P2" s="286"/>
      <c r="Q2" s="286"/>
      <c r="R2" s="286"/>
      <c r="S2" s="286"/>
      <c r="T2" s="286"/>
      <c r="U2" s="286"/>
      <c r="V2" s="286"/>
      <c r="W2" s="286"/>
      <c r="X2" s="286"/>
      <c r="Y2" s="286"/>
    </row>
    <row r="3" spans="1:25" x14ac:dyDescent="0.25">
      <c r="A3" t="s">
        <v>269</v>
      </c>
      <c r="B3" s="4" t="s">
        <v>512</v>
      </c>
      <c r="I3" s="286"/>
      <c r="J3" s="286"/>
      <c r="K3" s="286"/>
      <c r="L3" s="286"/>
      <c r="M3" s="286"/>
      <c r="N3" s="286"/>
      <c r="O3" s="286"/>
      <c r="P3" s="286"/>
      <c r="Q3" s="286"/>
      <c r="R3" s="286"/>
      <c r="S3" s="286"/>
      <c r="T3" s="286"/>
      <c r="U3" s="286"/>
      <c r="V3" s="286"/>
      <c r="W3" s="286"/>
      <c r="X3" s="286"/>
      <c r="Y3" s="286"/>
    </row>
    <row r="4" spans="1:25" x14ac:dyDescent="0.25">
      <c r="A4" s="106" t="s">
        <v>1</v>
      </c>
      <c r="B4" s="195">
        <v>0</v>
      </c>
      <c r="C4" s="15" t="s">
        <v>539</v>
      </c>
    </row>
    <row r="5" spans="1:25" x14ac:dyDescent="0.25">
      <c r="C5" t="s">
        <v>537</v>
      </c>
    </row>
  </sheetData>
  <hyperlinks>
    <hyperlink ref="B3" r:id="rId1" display="https://wwwcdn.imo.org/localresources/en/OurWork/Environment/Documents/Air pollution/MEPC.328%2876%29.pdf" xr:uid="{651C7ECB-226E-4137-BC20-2F1A94211B8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Arvutusvorm</vt:lpstr>
      <vt:lpstr>Eriheited</vt:lpstr>
      <vt:lpstr>Ümberarvutused</vt:lpstr>
      <vt:lpstr>Preemiategur</vt:lpstr>
      <vt:lpstr>EEDI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Eva-Ingrid Rõõm;kaie.kriiska@kik.ee</dc:creator>
  <cp:lastModifiedBy>Kaie Kriiska</cp:lastModifiedBy>
  <dcterms:created xsi:type="dcterms:W3CDTF">2025-02-10T13:37:03Z</dcterms:created>
  <dcterms:modified xsi:type="dcterms:W3CDTF">2026-09-22T14:46:17Z</dcterms:modified>
</cp:coreProperties>
</file>